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контингент" sheetId="1" r:id="rId1"/>
    <sheet name="Byudjet" sheetId="2" r:id="rId2"/>
    <sheet name="Kontrakt" sheetId="3" r:id="rId3"/>
    <sheet name="qizlar" sheetId="4" r:id="rId4"/>
  </sheets>
  <externalReferences>
    <externalReference r:id="rId7"/>
  </externalReferences>
  <definedNames>
    <definedName name="_xlnm.Print_Area" localSheetId="1">'Byudjet'!$A$1:$AB$45</definedName>
    <definedName name="_xlnm.Print_Area" localSheetId="2">'Kontrakt'!$A$1:$AB$44</definedName>
    <definedName name="_xlnm.Print_Area" localSheetId="0">'контингент'!$A$1:$AH$44</definedName>
  </definedNames>
  <calcPr fullCalcOnLoad="1"/>
</workbook>
</file>

<file path=xl/sharedStrings.xml><?xml version="1.0" encoding="utf-8"?>
<sst xmlns="http://schemas.openxmlformats.org/spreadsheetml/2006/main" count="319" uniqueCount="61">
  <si>
    <t>Ф-т,мутахассислик номи</t>
  </si>
  <si>
    <t>4 курс</t>
  </si>
  <si>
    <t>узб.</t>
  </si>
  <si>
    <t>рус.</t>
  </si>
  <si>
    <t>тож.</t>
  </si>
  <si>
    <t>Жами</t>
  </si>
  <si>
    <t>рус</t>
  </si>
  <si>
    <t>тож</t>
  </si>
  <si>
    <t>узб</t>
  </si>
  <si>
    <t>2 курс</t>
  </si>
  <si>
    <t>3 курс</t>
  </si>
  <si>
    <t>Амалий математика</t>
  </si>
  <si>
    <t>Кимё</t>
  </si>
  <si>
    <t>Математика</t>
  </si>
  <si>
    <t>Гуманитарная сфера</t>
  </si>
  <si>
    <t xml:space="preserve">Социальная сфера, экономика и право </t>
  </si>
  <si>
    <t xml:space="preserve">Здравоохранение и социальное обеспечение </t>
  </si>
  <si>
    <t>Сфера  услуг</t>
  </si>
  <si>
    <t>Гуманитар</t>
  </si>
  <si>
    <t>Ишлаб чикариш ва техник соҳа</t>
  </si>
  <si>
    <t>Кишлок ва сув хужалиги</t>
  </si>
  <si>
    <t>Хизматлар</t>
  </si>
  <si>
    <t>Ижтимоий соҳа, иқтисод ваҳуқуқ</t>
  </si>
  <si>
    <t>Соғлиқни сақлаш ва ижтимоий таъминот</t>
  </si>
  <si>
    <t>Амалий математика ва информатика</t>
  </si>
  <si>
    <t>1 курс</t>
  </si>
  <si>
    <t>Хаёт хакидаги фан</t>
  </si>
  <si>
    <t>ижтимоий таъминот</t>
  </si>
  <si>
    <t>САМАРКАНД ДАВЛАТ УНИВЕРСИТЕТИ КЕЧКИ ТАЛАБАЛАРИ СОНИ</t>
  </si>
  <si>
    <t>кечки</t>
  </si>
  <si>
    <t>САМАРКАНД ДАВЛАТ УНИВЕРСИТЕТИ КЕЧКИ қизлар СОНИ</t>
  </si>
  <si>
    <t>Мактабгача таълим</t>
  </si>
  <si>
    <t>Шифри</t>
  </si>
  <si>
    <t>ижтимоий фанлар</t>
  </si>
  <si>
    <t>Бизнес бошқарув</t>
  </si>
  <si>
    <t>Табиий фанлар</t>
  </si>
  <si>
    <t>Фан</t>
  </si>
  <si>
    <t>Ишлаб чиқариш ва тех,соҳа</t>
  </si>
  <si>
    <t>Таълим ўқитувчилар тайёрлаш ва педагогик фанлар</t>
  </si>
  <si>
    <t>Математика ва информатика</t>
  </si>
  <si>
    <t>Физика ва астрономия</t>
  </si>
  <si>
    <t>САМАРКАНД ДАВЛАТ УНИВЕРСИТЕТИ КЕЧКИ БЮДЖЕТ ТАЛАБАЛАРИ СОНИ</t>
  </si>
  <si>
    <t>САМАРКАНД ДАВЛАТ УНИВЕРСИТЕТИ КЕЧКИ КОНТРАКТ ТАЛАБАЛАРИ СОНИ</t>
  </si>
  <si>
    <t xml:space="preserve">Таълим ўқитувчилар тайёрлаш </t>
  </si>
  <si>
    <t>5 курс</t>
  </si>
  <si>
    <t>Филология ва тилларни ўқитиш: тожик тили</t>
  </si>
  <si>
    <t>Агробизнес ва инвестицион фаолият</t>
  </si>
  <si>
    <t>Юриспруденция (фаолият турлари бўйича)</t>
  </si>
  <si>
    <t>Биология (турлари бўйича)</t>
  </si>
  <si>
    <t>География</t>
  </si>
  <si>
    <t>Физика</t>
  </si>
  <si>
    <t>Филология ва тилларни о'қитиш: рус тили</t>
  </si>
  <si>
    <t>Она тили ва адабиёти: рус тили ва адабиёти(узга тилли гурухларда)</t>
  </si>
  <si>
    <t>Филология ва тилларни ўқитиш: ўзбек тили</t>
  </si>
  <si>
    <t>Гуманитар фанлар</t>
  </si>
  <si>
    <t>Ҳуқуқ</t>
  </si>
  <si>
    <t>Қишлоқ ва сув хўжалиги</t>
  </si>
  <si>
    <t>Курсдан колган</t>
  </si>
  <si>
    <t>Psixologiya: amaliy psixologiya</t>
  </si>
  <si>
    <t>Tarix (mamlakatlar va yoʻnalishlar boʻyicha)</t>
  </si>
  <si>
    <t>01.11.2023 йил холати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</si>
</sst>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color indexed="8"/>
      <name val="Arial Cyr"/>
      <family val="2"/>
    </font>
    <font>
      <b/>
      <i/>
      <sz val="8"/>
      <name val="Arial"/>
      <family val="2"/>
    </font>
    <font>
      <b/>
      <i/>
      <sz val="8"/>
      <name val="Times New Roman"/>
      <family val="1"/>
    </font>
    <font>
      <sz val="9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8"/>
      <color indexed="3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1"/>
      <name val="Times New Roman"/>
      <family val="1"/>
    </font>
    <font>
      <b/>
      <sz val="8"/>
      <color rgb="FF0070C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34" borderId="10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9" fillId="13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13" fillId="19" borderId="10" xfId="0" applyFont="1" applyFill="1" applyBorder="1" applyAlignment="1">
      <alignment vertical="center" wrapText="1"/>
    </xf>
    <xf numFmtId="0" fontId="10" fillId="19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8" fillId="19" borderId="10" xfId="0" applyFont="1" applyFill="1" applyBorder="1" applyAlignment="1">
      <alignment vertical="center" wrapText="1"/>
    </xf>
    <xf numFmtId="0" fontId="17" fillId="13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16" fillId="0" borderId="17" xfId="0" applyFont="1" applyBorder="1" applyAlignment="1">
      <alignment/>
    </xf>
    <xf numFmtId="0" fontId="16" fillId="34" borderId="17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6" fillId="8" borderId="10" xfId="0" applyFont="1" applyFill="1" applyBorder="1" applyAlignment="1">
      <alignment horizontal="left"/>
    </xf>
    <xf numFmtId="0" fontId="16" fillId="19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vertical="center" wrapText="1"/>
    </xf>
    <xf numFmtId="0" fontId="19" fillId="8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 vertical="center" wrapText="1"/>
    </xf>
    <xf numFmtId="0" fontId="20" fillId="18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1" fillId="36" borderId="10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63" fillId="13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6" fillId="19" borderId="10" xfId="0" applyFont="1" applyFill="1" applyBorder="1" applyAlignment="1">
      <alignment vertical="center" wrapText="1"/>
    </xf>
    <xf numFmtId="0" fontId="15" fillId="34" borderId="1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64" fillId="0" borderId="17" xfId="0" applyFont="1" applyBorder="1" applyAlignment="1">
      <alignment/>
    </xf>
    <xf numFmtId="0" fontId="65" fillId="0" borderId="17" xfId="0" applyFont="1" applyBorder="1" applyAlignment="1">
      <alignment/>
    </xf>
    <xf numFmtId="0" fontId="9" fillId="19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TINGENT%20&#1050;&#1059;&#1053;&#1044;&#1059;&#1047;&#1043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  <sheetName val="бюджет"/>
      <sheetName val="контракт"/>
      <sheetName val="кизлар"/>
    </sheetNames>
    <sheetDataSet>
      <sheetData sheetId="0">
        <row r="80">
          <cell r="AB80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1" sqref="K11"/>
    </sheetView>
  </sheetViews>
  <sheetFormatPr defaultColWidth="9.00390625" defaultRowHeight="12.75"/>
  <cols>
    <col min="1" max="1" width="3.00390625" style="0" customWidth="1"/>
    <col min="2" max="2" width="17.875" style="0" hidden="1" customWidth="1"/>
    <col min="3" max="3" width="7.875" style="39" bestFit="1" customWidth="1"/>
    <col min="4" max="4" width="28.00390625" style="0" bestFit="1" customWidth="1"/>
    <col min="5" max="5" width="5.75390625" style="0" customWidth="1"/>
    <col min="6" max="6" width="3.375" style="0" customWidth="1"/>
    <col min="7" max="7" width="4.00390625" style="0" customWidth="1"/>
    <col min="8" max="8" width="7.625" style="0" customWidth="1"/>
    <col min="9" max="9" width="5.625" style="0" customWidth="1"/>
    <col min="10" max="10" width="5.75390625" style="0" customWidth="1"/>
    <col min="11" max="11" width="3.375" style="0" customWidth="1"/>
    <col min="12" max="12" width="4.00390625" style="0" customWidth="1"/>
    <col min="13" max="13" width="7.75390625" style="0" customWidth="1"/>
    <col min="14" max="14" width="5.625" style="0" customWidth="1"/>
    <col min="15" max="15" width="4.875" style="0" customWidth="1"/>
    <col min="16" max="17" width="3.875" style="0" customWidth="1"/>
    <col min="18" max="18" width="8.25390625" style="0" customWidth="1"/>
    <col min="19" max="19" width="5.25390625" style="0" customWidth="1"/>
    <col min="20" max="20" width="3.875" style="0" customWidth="1"/>
    <col min="21" max="22" width="3.75390625" style="0" customWidth="1"/>
    <col min="23" max="23" width="7.25390625" style="0" customWidth="1"/>
    <col min="24" max="24" width="5.625" style="0" customWidth="1"/>
    <col min="25" max="25" width="3.875" style="0" customWidth="1"/>
    <col min="26" max="27" width="3.75390625" style="0" customWidth="1"/>
    <col min="28" max="28" width="8.375" style="0" customWidth="1"/>
    <col min="29" max="29" width="5.625" style="0" customWidth="1"/>
    <col min="30" max="30" width="5.75390625" style="0" customWidth="1"/>
    <col min="31" max="31" width="4.125" style="0" customWidth="1"/>
    <col min="32" max="32" width="4.25390625" style="0" customWidth="1"/>
    <col min="33" max="33" width="8.375" style="0" customWidth="1"/>
    <col min="34" max="34" width="6.00390625" style="0" customWidth="1"/>
    <col min="35" max="35" width="18.75390625" style="0" bestFit="1" customWidth="1"/>
    <col min="36" max="36" width="9.125" style="3" customWidth="1"/>
  </cols>
  <sheetData>
    <row r="1" spans="1:34" ht="29.2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4" ht="15.75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6" s="9" customFormat="1" ht="12.75">
      <c r="A3" s="18"/>
      <c r="B3" s="20"/>
      <c r="C3" s="97" t="s">
        <v>32</v>
      </c>
      <c r="D3" s="95" t="s">
        <v>0</v>
      </c>
      <c r="E3" s="18"/>
      <c r="F3" s="19" t="s">
        <v>25</v>
      </c>
      <c r="G3" s="20"/>
      <c r="H3" s="99" t="s">
        <v>57</v>
      </c>
      <c r="I3" s="21"/>
      <c r="J3" s="18"/>
      <c r="K3" s="19" t="s">
        <v>9</v>
      </c>
      <c r="L3" s="20"/>
      <c r="M3" s="99" t="s">
        <v>57</v>
      </c>
      <c r="N3" s="21"/>
      <c r="O3" s="18"/>
      <c r="P3" s="19" t="s">
        <v>10</v>
      </c>
      <c r="Q3" s="20"/>
      <c r="R3" s="99" t="s">
        <v>57</v>
      </c>
      <c r="S3" s="21"/>
      <c r="T3" s="18"/>
      <c r="U3" s="19" t="s">
        <v>1</v>
      </c>
      <c r="V3" s="20"/>
      <c r="W3" s="99" t="s">
        <v>57</v>
      </c>
      <c r="X3" s="21"/>
      <c r="Y3" s="18"/>
      <c r="Z3" s="19" t="s">
        <v>44</v>
      </c>
      <c r="AA3" s="20"/>
      <c r="AB3" s="99" t="s">
        <v>57</v>
      </c>
      <c r="AC3" s="21"/>
      <c r="AD3" s="18"/>
      <c r="AE3" s="19" t="s">
        <v>5</v>
      </c>
      <c r="AF3" s="20"/>
      <c r="AG3" s="99" t="s">
        <v>57</v>
      </c>
      <c r="AH3" s="22"/>
      <c r="AJ3" s="11"/>
    </row>
    <row r="4" spans="1:36" s="9" customFormat="1" ht="12.75">
      <c r="A4" s="23"/>
      <c r="B4" s="52"/>
      <c r="C4" s="98"/>
      <c r="D4" s="96"/>
      <c r="E4" s="22" t="s">
        <v>2</v>
      </c>
      <c r="F4" s="22" t="s">
        <v>6</v>
      </c>
      <c r="G4" s="22" t="s">
        <v>4</v>
      </c>
      <c r="H4" s="100"/>
      <c r="I4" s="22" t="s">
        <v>5</v>
      </c>
      <c r="J4" s="22" t="s">
        <v>2</v>
      </c>
      <c r="K4" s="22" t="s">
        <v>6</v>
      </c>
      <c r="L4" s="22" t="s">
        <v>4</v>
      </c>
      <c r="M4" s="100"/>
      <c r="N4" s="22" t="s">
        <v>5</v>
      </c>
      <c r="O4" s="22" t="s">
        <v>8</v>
      </c>
      <c r="P4" s="22" t="s">
        <v>6</v>
      </c>
      <c r="Q4" s="22" t="s">
        <v>7</v>
      </c>
      <c r="R4" s="100"/>
      <c r="S4" s="22" t="s">
        <v>5</v>
      </c>
      <c r="T4" s="22" t="s">
        <v>2</v>
      </c>
      <c r="U4" s="22" t="s">
        <v>6</v>
      </c>
      <c r="V4" s="22" t="s">
        <v>7</v>
      </c>
      <c r="W4" s="100"/>
      <c r="X4" s="22" t="s">
        <v>5</v>
      </c>
      <c r="Y4" s="22" t="s">
        <v>2</v>
      </c>
      <c r="Z4" s="22" t="s">
        <v>6</v>
      </c>
      <c r="AA4" s="22" t="s">
        <v>7</v>
      </c>
      <c r="AB4" s="100"/>
      <c r="AC4" s="22" t="s">
        <v>5</v>
      </c>
      <c r="AD4" s="22" t="s">
        <v>2</v>
      </c>
      <c r="AE4" s="22" t="s">
        <v>3</v>
      </c>
      <c r="AF4" s="22" t="s">
        <v>4</v>
      </c>
      <c r="AG4" s="100"/>
      <c r="AH4" s="22" t="s">
        <v>5</v>
      </c>
      <c r="AJ4" s="11"/>
    </row>
    <row r="5" spans="1:34" ht="12.75">
      <c r="A5" s="93" t="s">
        <v>29</v>
      </c>
      <c r="B5" s="93"/>
      <c r="C5" s="93"/>
      <c r="D5" s="94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ht="12.75">
      <c r="A6" s="42">
        <v>1</v>
      </c>
      <c r="B6" s="54" t="s">
        <v>36</v>
      </c>
      <c r="C6" s="41">
        <v>60540100</v>
      </c>
      <c r="D6" s="63" t="s">
        <v>13</v>
      </c>
      <c r="E6" s="78">
        <f>2+5+9+6+3</f>
        <v>25</v>
      </c>
      <c r="F6" s="44"/>
      <c r="G6" s="44"/>
      <c r="H6" s="44">
        <v>1</v>
      </c>
      <c r="I6" s="57">
        <f aca="true" t="shared" si="0" ref="I6:I24">E6+F6+G6</f>
        <v>25</v>
      </c>
      <c r="J6" s="78">
        <f>11+5+9+1+2-4</f>
        <v>24</v>
      </c>
      <c r="K6" s="44"/>
      <c r="L6" s="44"/>
      <c r="M6" s="44"/>
      <c r="N6" s="57">
        <f aca="true" t="shared" si="1" ref="N6:N24">J6+K6+L6</f>
        <v>24</v>
      </c>
      <c r="O6" s="43"/>
      <c r="P6" s="44"/>
      <c r="Q6" s="44"/>
      <c r="R6" s="82"/>
      <c r="S6" s="49">
        <f aca="true" t="shared" si="2" ref="S6:S24">O6+P6+Q6</f>
        <v>0</v>
      </c>
      <c r="T6" s="43"/>
      <c r="U6" s="44"/>
      <c r="V6" s="44"/>
      <c r="W6" s="47"/>
      <c r="X6" s="80">
        <f aca="true" t="shared" si="3" ref="X6:X18">V6+U6+T6</f>
        <v>0</v>
      </c>
      <c r="Y6" s="43">
        <f>1+9+27+2+5+4+4+1+1+7+1-2+28+4+1+7-2+1+2-1+1-2+3-1-23+20+1-1-3-1+1-2-27+15+1-2-1+1-1-2-20-1-1</f>
        <v>55</v>
      </c>
      <c r="Z6" s="44">
        <f>2+1+2+6+1+1-1</f>
        <v>12</v>
      </c>
      <c r="AA6" s="47"/>
      <c r="AB6" s="47"/>
      <c r="AC6" s="49">
        <f aca="true" t="shared" si="4" ref="AC6:AC15">AA6+Z6+Y6</f>
        <v>67</v>
      </c>
      <c r="AD6" s="47">
        <f>E6+J6+O6+T6+Y6</f>
        <v>104</v>
      </c>
      <c r="AE6" s="47">
        <f>F6+K6+P6+U6+Z6</f>
        <v>12</v>
      </c>
      <c r="AF6" s="47">
        <f>G6+L6+Q6+V6+AA6</f>
        <v>0</v>
      </c>
      <c r="AG6" s="47">
        <f>+AB6+W6+R6+M6+H6</f>
        <v>1</v>
      </c>
      <c r="AH6" s="48">
        <f>AD6+AE6+AF6</f>
        <v>116</v>
      </c>
    </row>
    <row r="7" spans="1:36" s="13" customFormat="1" ht="12.75">
      <c r="A7" s="42">
        <v>2</v>
      </c>
      <c r="B7" s="54" t="s">
        <v>35</v>
      </c>
      <c r="C7" s="41">
        <v>60530900</v>
      </c>
      <c r="D7" s="64" t="s">
        <v>50</v>
      </c>
      <c r="E7" s="78">
        <f>1+3+4+3+12+3+5</f>
        <v>31</v>
      </c>
      <c r="F7" s="44"/>
      <c r="G7" s="44"/>
      <c r="H7" s="44">
        <v>2</v>
      </c>
      <c r="I7" s="57">
        <f t="shared" si="0"/>
        <v>31</v>
      </c>
      <c r="J7" s="78">
        <f>10+2+8+1+1+1-1-7-1</f>
        <v>14</v>
      </c>
      <c r="K7" s="44"/>
      <c r="L7" s="44"/>
      <c r="M7" s="44"/>
      <c r="N7" s="57">
        <f t="shared" si="1"/>
        <v>14</v>
      </c>
      <c r="O7" s="43"/>
      <c r="P7" s="44"/>
      <c r="Q7" s="44"/>
      <c r="R7" s="81"/>
      <c r="S7" s="58">
        <f>O7+P7+Q7</f>
        <v>0</v>
      </c>
      <c r="T7" s="43">
        <f>19+2</f>
        <v>21</v>
      </c>
      <c r="U7" s="44"/>
      <c r="V7" s="44"/>
      <c r="W7" s="47">
        <v>4</v>
      </c>
      <c r="X7" s="80">
        <f t="shared" si="3"/>
        <v>21</v>
      </c>
      <c r="Y7" s="43">
        <f>7+18+18+2+4+2+1+1+13+2-1-1-1-1-3+1-1-1-2-6+3+1-2-1+1-3-18-1-6</f>
        <v>26</v>
      </c>
      <c r="Z7" s="44">
        <f>2+4+2-1-2</f>
        <v>5</v>
      </c>
      <c r="AA7" s="47"/>
      <c r="AB7" s="47"/>
      <c r="AC7" s="49">
        <f t="shared" si="4"/>
        <v>31</v>
      </c>
      <c r="AD7" s="47">
        <f aca="true" t="shared" si="5" ref="AD7:AD17">E7+J7+O7+T7+Y7</f>
        <v>92</v>
      </c>
      <c r="AE7" s="47">
        <f aca="true" t="shared" si="6" ref="AE7:AE17">F7+K7+P7+U7+Z7</f>
        <v>5</v>
      </c>
      <c r="AF7" s="47">
        <f aca="true" t="shared" si="7" ref="AF7:AF17">G7+L7+Q7+V7+AA7</f>
        <v>0</v>
      </c>
      <c r="AG7" s="47">
        <f aca="true" t="shared" si="8" ref="AG7:AG22">+AB7+W7+R7+M7+H7</f>
        <v>6</v>
      </c>
      <c r="AH7" s="48">
        <f aca="true" t="shared" si="9" ref="AH7:AH24">AD7+AE7+AF7</f>
        <v>97</v>
      </c>
      <c r="AJ7" s="14"/>
    </row>
    <row r="8" spans="1:34" ht="12.75">
      <c r="A8" s="42">
        <v>3</v>
      </c>
      <c r="B8" s="54" t="s">
        <v>36</v>
      </c>
      <c r="C8" s="41">
        <v>60540200</v>
      </c>
      <c r="D8" s="65" t="s">
        <v>24</v>
      </c>
      <c r="E8" s="60"/>
      <c r="F8" s="44"/>
      <c r="G8" s="44"/>
      <c r="H8" s="44"/>
      <c r="I8" s="57">
        <f t="shared" si="0"/>
        <v>0</v>
      </c>
      <c r="J8" s="60"/>
      <c r="K8" s="44"/>
      <c r="L8" s="44"/>
      <c r="M8" s="44"/>
      <c r="N8" s="57">
        <f t="shared" si="1"/>
        <v>0</v>
      </c>
      <c r="O8" s="44"/>
      <c r="P8" s="44"/>
      <c r="Q8" s="44"/>
      <c r="R8" s="44"/>
      <c r="S8" s="58">
        <f t="shared" si="2"/>
        <v>0</v>
      </c>
      <c r="T8" s="44"/>
      <c r="U8" s="44"/>
      <c r="V8" s="44"/>
      <c r="W8" s="47"/>
      <c r="X8" s="80">
        <f t="shared" si="3"/>
        <v>0</v>
      </c>
      <c r="Y8" s="44">
        <f>1+22+18+1+1+1+2+8-1-1+2+23-1-1-3-2+12+4+6-1+1+6+2-1+3-1-1-1+1-3+1-1-1-20-1</f>
        <v>75</v>
      </c>
      <c r="Z8" s="44">
        <f>1+2+5+1+1+3-1-4</f>
        <v>8</v>
      </c>
      <c r="AA8" s="47"/>
      <c r="AB8" s="47"/>
      <c r="AC8" s="49">
        <f t="shared" si="4"/>
        <v>83</v>
      </c>
      <c r="AD8" s="47">
        <f t="shared" si="5"/>
        <v>75</v>
      </c>
      <c r="AE8" s="47">
        <f t="shared" si="6"/>
        <v>8</v>
      </c>
      <c r="AF8" s="47">
        <f t="shared" si="7"/>
        <v>0</v>
      </c>
      <c r="AG8" s="47">
        <f t="shared" si="8"/>
        <v>0</v>
      </c>
      <c r="AH8" s="48">
        <f t="shared" si="9"/>
        <v>83</v>
      </c>
    </row>
    <row r="9" spans="1:34" ht="12.75">
      <c r="A9" s="42">
        <v>4</v>
      </c>
      <c r="B9" s="54" t="s">
        <v>35</v>
      </c>
      <c r="C9" s="50">
        <v>60530100</v>
      </c>
      <c r="D9" s="63" t="s">
        <v>12</v>
      </c>
      <c r="E9" s="79">
        <f>9+1+6+4+2+4</f>
        <v>26</v>
      </c>
      <c r="F9" s="44"/>
      <c r="G9" s="44"/>
      <c r="H9" s="44"/>
      <c r="I9" s="57">
        <f t="shared" si="0"/>
        <v>26</v>
      </c>
      <c r="J9" s="79">
        <f>3+5+13+2+1+1-1-2</f>
        <v>22</v>
      </c>
      <c r="K9" s="44"/>
      <c r="L9" s="44"/>
      <c r="M9" s="44"/>
      <c r="N9" s="57">
        <f t="shared" si="1"/>
        <v>22</v>
      </c>
      <c r="O9" s="44"/>
      <c r="P9" s="44"/>
      <c r="Q9" s="44"/>
      <c r="R9" s="44"/>
      <c r="S9" s="58">
        <f t="shared" si="2"/>
        <v>0</v>
      </c>
      <c r="T9" s="44"/>
      <c r="U9" s="44"/>
      <c r="V9" s="44"/>
      <c r="W9" s="47">
        <v>2</v>
      </c>
      <c r="X9" s="80">
        <f t="shared" si="3"/>
        <v>0</v>
      </c>
      <c r="Y9" s="44">
        <f>5+7+24+3+4+1+1+7-1+1-1+1-1+18+1+1+6+6-1+1+1-1-2-1+2-1-3-2-1-1-1-1-1-4-2</f>
        <v>65</v>
      </c>
      <c r="Z9" s="44">
        <f>1+1+2+2-2</f>
        <v>4</v>
      </c>
      <c r="AA9" s="47"/>
      <c r="AB9" s="47"/>
      <c r="AC9" s="49">
        <f t="shared" si="4"/>
        <v>69</v>
      </c>
      <c r="AD9" s="47">
        <f t="shared" si="5"/>
        <v>113</v>
      </c>
      <c r="AE9" s="47">
        <f t="shared" si="6"/>
        <v>4</v>
      </c>
      <c r="AF9" s="47">
        <f t="shared" si="7"/>
        <v>0</v>
      </c>
      <c r="AG9" s="47">
        <f t="shared" si="8"/>
        <v>2</v>
      </c>
      <c r="AH9" s="48">
        <f t="shared" si="9"/>
        <v>117</v>
      </c>
    </row>
    <row r="10" spans="1:34" ht="22.5">
      <c r="A10" s="42">
        <v>5</v>
      </c>
      <c r="B10" s="53" t="s">
        <v>18</v>
      </c>
      <c r="C10" s="50">
        <v>60230100</v>
      </c>
      <c r="D10" s="64" t="s">
        <v>51</v>
      </c>
      <c r="E10" s="60"/>
      <c r="F10" s="45"/>
      <c r="G10" s="44"/>
      <c r="H10" s="45">
        <v>1</v>
      </c>
      <c r="I10" s="57">
        <f t="shared" si="0"/>
        <v>0</v>
      </c>
      <c r="J10" s="60"/>
      <c r="K10" s="45">
        <f>1+17+7+6+1-1-2</f>
        <v>29</v>
      </c>
      <c r="L10" s="44"/>
      <c r="M10" s="77"/>
      <c r="N10" s="57">
        <f t="shared" si="1"/>
        <v>29</v>
      </c>
      <c r="O10" s="44"/>
      <c r="P10" s="44"/>
      <c r="Q10" s="44"/>
      <c r="R10" s="44"/>
      <c r="S10" s="58">
        <f>O10+P10+Q10</f>
        <v>0</v>
      </c>
      <c r="T10" s="44"/>
      <c r="U10" s="44"/>
      <c r="V10" s="44"/>
      <c r="W10" s="47"/>
      <c r="X10" s="80">
        <f t="shared" si="3"/>
        <v>0</v>
      </c>
      <c r="Y10" s="44"/>
      <c r="Z10" s="44">
        <f>36+11+13+1+1+9-1-2-1-20-1</f>
        <v>46</v>
      </c>
      <c r="AA10" s="47"/>
      <c r="AB10" s="47"/>
      <c r="AC10" s="49">
        <f t="shared" si="4"/>
        <v>46</v>
      </c>
      <c r="AD10" s="47">
        <f t="shared" si="5"/>
        <v>0</v>
      </c>
      <c r="AE10" s="47">
        <f t="shared" si="6"/>
        <v>75</v>
      </c>
      <c r="AF10" s="47">
        <f t="shared" si="7"/>
        <v>0</v>
      </c>
      <c r="AG10" s="47">
        <f t="shared" si="8"/>
        <v>1</v>
      </c>
      <c r="AH10" s="48">
        <f t="shared" si="9"/>
        <v>75</v>
      </c>
    </row>
    <row r="11" spans="1:34" ht="22.5">
      <c r="A11" s="42">
        <v>6</v>
      </c>
      <c r="B11" s="53" t="s">
        <v>18</v>
      </c>
      <c r="C11" s="50">
        <v>60111500</v>
      </c>
      <c r="D11" s="64" t="s">
        <v>52</v>
      </c>
      <c r="E11" s="60"/>
      <c r="F11" s="44"/>
      <c r="G11" s="44"/>
      <c r="H11" s="44"/>
      <c r="I11" s="57">
        <f t="shared" si="0"/>
        <v>0</v>
      </c>
      <c r="J11" s="60"/>
      <c r="K11" s="44"/>
      <c r="L11" s="44"/>
      <c r="M11" s="44"/>
      <c r="N11" s="57">
        <f t="shared" si="1"/>
        <v>0</v>
      </c>
      <c r="O11" s="44"/>
      <c r="P11" s="44"/>
      <c r="Q11" s="44"/>
      <c r="R11" s="44"/>
      <c r="S11" s="49">
        <f>O11+P11+Q11</f>
        <v>0</v>
      </c>
      <c r="T11" s="44"/>
      <c r="U11" s="44"/>
      <c r="V11" s="44"/>
      <c r="W11" s="47"/>
      <c r="X11" s="80">
        <f t="shared" si="3"/>
        <v>0</v>
      </c>
      <c r="Y11" s="44"/>
      <c r="Z11" s="44">
        <f>22+5+1+7+1+2+1</f>
        <v>39</v>
      </c>
      <c r="AA11" s="47"/>
      <c r="AB11" s="47"/>
      <c r="AC11" s="49">
        <f t="shared" si="4"/>
        <v>39</v>
      </c>
      <c r="AD11" s="47">
        <f t="shared" si="5"/>
        <v>0</v>
      </c>
      <c r="AE11" s="47">
        <f t="shared" si="6"/>
        <v>39</v>
      </c>
      <c r="AF11" s="47">
        <f t="shared" si="7"/>
        <v>0</v>
      </c>
      <c r="AG11" s="47">
        <f t="shared" si="8"/>
        <v>0</v>
      </c>
      <c r="AH11" s="48">
        <f t="shared" si="9"/>
        <v>39</v>
      </c>
    </row>
    <row r="12" spans="1:34" ht="22.5">
      <c r="A12" s="42">
        <v>7</v>
      </c>
      <c r="B12" s="83" t="s">
        <v>43</v>
      </c>
      <c r="C12" s="41">
        <v>60110200</v>
      </c>
      <c r="D12" s="63" t="s">
        <v>31</v>
      </c>
      <c r="E12" s="60"/>
      <c r="F12" s="44"/>
      <c r="G12" s="44"/>
      <c r="H12" s="44"/>
      <c r="I12" s="57">
        <f t="shared" si="0"/>
        <v>0</v>
      </c>
      <c r="J12" s="60"/>
      <c r="K12" s="44"/>
      <c r="L12" s="44"/>
      <c r="M12" s="44"/>
      <c r="N12" s="57">
        <f t="shared" si="1"/>
        <v>0</v>
      </c>
      <c r="O12" s="44"/>
      <c r="P12" s="44"/>
      <c r="Q12" s="44"/>
      <c r="R12" s="44"/>
      <c r="S12" s="58">
        <f t="shared" si="2"/>
        <v>0</v>
      </c>
      <c r="T12" s="45">
        <f>2+50+19+3+5+4+4-16-1-2-2+27-2+6+2+1+1+1-1-1-1-1-1-1-1+1-1-2+1-1+1-1+1+1+1+1</f>
        <v>97</v>
      </c>
      <c r="U12" s="44"/>
      <c r="V12" s="44"/>
      <c r="W12" s="47"/>
      <c r="X12" s="49">
        <f t="shared" si="3"/>
        <v>97</v>
      </c>
      <c r="Y12" s="47"/>
      <c r="Z12" s="47"/>
      <c r="AA12" s="47"/>
      <c r="AB12" s="47"/>
      <c r="AC12" s="49">
        <f t="shared" si="4"/>
        <v>0</v>
      </c>
      <c r="AD12" s="47">
        <f t="shared" si="5"/>
        <v>97</v>
      </c>
      <c r="AE12" s="47">
        <f t="shared" si="6"/>
        <v>0</v>
      </c>
      <c r="AF12" s="47">
        <f t="shared" si="7"/>
        <v>0</v>
      </c>
      <c r="AG12" s="47">
        <f t="shared" si="8"/>
        <v>0</v>
      </c>
      <c r="AH12" s="48">
        <f t="shared" si="9"/>
        <v>97</v>
      </c>
    </row>
    <row r="13" spans="1:34" ht="22.5">
      <c r="A13" s="42">
        <v>8</v>
      </c>
      <c r="B13" s="83" t="s">
        <v>43</v>
      </c>
      <c r="C13" s="85">
        <v>60110600</v>
      </c>
      <c r="D13" s="64" t="s">
        <v>39</v>
      </c>
      <c r="E13" s="60"/>
      <c r="F13" s="44"/>
      <c r="G13" s="44"/>
      <c r="H13" s="44"/>
      <c r="I13" s="57">
        <f t="shared" si="0"/>
        <v>0</v>
      </c>
      <c r="J13" s="60"/>
      <c r="K13" s="44"/>
      <c r="L13" s="44"/>
      <c r="M13" s="44"/>
      <c r="N13" s="57">
        <f t="shared" si="1"/>
        <v>0</v>
      </c>
      <c r="O13" s="44"/>
      <c r="P13" s="44"/>
      <c r="Q13" s="44"/>
      <c r="R13" s="44">
        <v>6</v>
      </c>
      <c r="S13" s="49">
        <f t="shared" si="2"/>
        <v>0</v>
      </c>
      <c r="T13" s="45">
        <f>1+68+7+2+4+12+1+1+1-2-1+1+14-1+9+4+2+1+4+23-1+1+11+3-2+1+1-3+1-4+1+27-2-7+1-3+1-5+2-2-1+1-4-1+1+1+1-1-1-1-2-1-1-1-2-2-6</f>
        <v>152</v>
      </c>
      <c r="U13" s="44"/>
      <c r="V13" s="44"/>
      <c r="W13" s="47"/>
      <c r="X13" s="49">
        <f t="shared" si="3"/>
        <v>152</v>
      </c>
      <c r="Y13" s="47"/>
      <c r="Z13" s="47"/>
      <c r="AA13" s="47"/>
      <c r="AB13" s="47"/>
      <c r="AC13" s="49">
        <f t="shared" si="4"/>
        <v>0</v>
      </c>
      <c r="AD13" s="47">
        <f t="shared" si="5"/>
        <v>152</v>
      </c>
      <c r="AE13" s="47">
        <f t="shared" si="6"/>
        <v>0</v>
      </c>
      <c r="AF13" s="47">
        <f t="shared" si="7"/>
        <v>0</v>
      </c>
      <c r="AG13" s="47">
        <f t="shared" si="8"/>
        <v>6</v>
      </c>
      <c r="AH13" s="48">
        <f t="shared" si="9"/>
        <v>152</v>
      </c>
    </row>
    <row r="14" spans="1:34" ht="22.5">
      <c r="A14" s="42">
        <v>9</v>
      </c>
      <c r="B14" s="83" t="s">
        <v>43</v>
      </c>
      <c r="C14" s="85">
        <v>60110700</v>
      </c>
      <c r="D14" s="64" t="s">
        <v>40</v>
      </c>
      <c r="E14" s="60"/>
      <c r="F14" s="44"/>
      <c r="G14" s="44"/>
      <c r="H14" s="44"/>
      <c r="I14" s="57">
        <f t="shared" si="0"/>
        <v>0</v>
      </c>
      <c r="J14" s="60"/>
      <c r="K14" s="44"/>
      <c r="L14" s="44"/>
      <c r="M14" s="44"/>
      <c r="N14" s="57">
        <f t="shared" si="1"/>
        <v>0</v>
      </c>
      <c r="O14" s="44"/>
      <c r="P14" s="44"/>
      <c r="Q14" s="44"/>
      <c r="R14" s="44">
        <v>10</v>
      </c>
      <c r="S14" s="49">
        <f t="shared" si="2"/>
        <v>0</v>
      </c>
      <c r="T14" s="45">
        <f>1+61+12+2+6-1+2-1+2+2+1-2-2-1+11+11+1+2+4+2-1+1-1-1+6+1+1+1+1+1+1-1-1-1-1-1-4-13+2</f>
        <v>103</v>
      </c>
      <c r="U14" s="44"/>
      <c r="V14" s="44"/>
      <c r="W14" s="47"/>
      <c r="X14" s="49">
        <f t="shared" si="3"/>
        <v>103</v>
      </c>
      <c r="Y14" s="47"/>
      <c r="Z14" s="47"/>
      <c r="AA14" s="47"/>
      <c r="AB14" s="47"/>
      <c r="AC14" s="49">
        <f t="shared" si="4"/>
        <v>0</v>
      </c>
      <c r="AD14" s="47">
        <f t="shared" si="5"/>
        <v>103</v>
      </c>
      <c r="AE14" s="47">
        <f t="shared" si="6"/>
        <v>0</v>
      </c>
      <c r="AF14" s="47">
        <f t="shared" si="7"/>
        <v>0</v>
      </c>
      <c r="AG14" s="47">
        <f t="shared" si="8"/>
        <v>10</v>
      </c>
      <c r="AH14" s="48">
        <f t="shared" si="9"/>
        <v>103</v>
      </c>
    </row>
    <row r="15" spans="1:34" ht="22.5">
      <c r="A15" s="42">
        <v>10</v>
      </c>
      <c r="B15" s="83" t="s">
        <v>43</v>
      </c>
      <c r="C15" s="85">
        <v>60110800</v>
      </c>
      <c r="D15" s="64" t="s">
        <v>12</v>
      </c>
      <c r="E15" s="60"/>
      <c r="F15" s="44"/>
      <c r="G15" s="44"/>
      <c r="H15" s="44"/>
      <c r="I15" s="57">
        <f t="shared" si="0"/>
        <v>0</v>
      </c>
      <c r="J15" s="60"/>
      <c r="K15" s="44"/>
      <c r="L15" s="44"/>
      <c r="M15" s="44"/>
      <c r="N15" s="57">
        <f t="shared" si="1"/>
        <v>0</v>
      </c>
      <c r="O15" s="60"/>
      <c r="P15" s="44"/>
      <c r="Q15" s="44"/>
      <c r="R15" s="44">
        <v>6</v>
      </c>
      <c r="S15" s="49">
        <f t="shared" si="2"/>
        <v>0</v>
      </c>
      <c r="T15" s="45">
        <f>59+13+1+6+2-1-1-9-1-1+22-1+10+1+1+1+1+1+1+7+1-1-1-1-1+1-1-1-1-1+1-1-3-1-1+1-1-1+1-10+1</f>
        <v>92</v>
      </c>
      <c r="U15" s="44"/>
      <c r="V15" s="44"/>
      <c r="W15" s="47"/>
      <c r="X15" s="49">
        <f t="shared" si="3"/>
        <v>92</v>
      </c>
      <c r="Y15" s="47"/>
      <c r="Z15" s="47"/>
      <c r="AA15" s="47"/>
      <c r="AB15" s="47"/>
      <c r="AC15" s="49">
        <f t="shared" si="4"/>
        <v>0</v>
      </c>
      <c r="AD15" s="47">
        <f t="shared" si="5"/>
        <v>92</v>
      </c>
      <c r="AE15" s="47">
        <f t="shared" si="6"/>
        <v>0</v>
      </c>
      <c r="AF15" s="47">
        <f t="shared" si="7"/>
        <v>0</v>
      </c>
      <c r="AG15" s="47">
        <f t="shared" si="8"/>
        <v>6</v>
      </c>
      <c r="AH15" s="48">
        <f t="shared" si="9"/>
        <v>92</v>
      </c>
    </row>
    <row r="16" spans="1:34" ht="12.75">
      <c r="A16" s="42">
        <v>11</v>
      </c>
      <c r="B16" s="54" t="s">
        <v>36</v>
      </c>
      <c r="C16" s="85">
        <v>60540200</v>
      </c>
      <c r="D16" s="64" t="s">
        <v>11</v>
      </c>
      <c r="E16" s="79">
        <f>2+10+6+2+4</f>
        <v>24</v>
      </c>
      <c r="F16" s="44"/>
      <c r="G16" s="44"/>
      <c r="H16" s="45"/>
      <c r="I16" s="57">
        <f t="shared" si="0"/>
        <v>24</v>
      </c>
      <c r="J16" s="87">
        <f>1+11+1+12+4-1+2+1+2-2+1+1-1-4+9</f>
        <v>37</v>
      </c>
      <c r="K16" s="44"/>
      <c r="L16" s="44"/>
      <c r="M16" s="44">
        <v>1</v>
      </c>
      <c r="N16" s="57">
        <f t="shared" si="1"/>
        <v>37</v>
      </c>
      <c r="O16" s="60">
        <f>1+64+4+3+3+7+3+2+1-1+1-1-1-1-2-1-2+1-1-1-1+1+2-1+1+1-1-1-2-2-1-1-1-10</f>
        <v>63</v>
      </c>
      <c r="P16" s="44"/>
      <c r="Q16" s="44"/>
      <c r="R16" s="75">
        <v>1</v>
      </c>
      <c r="S16" s="49">
        <f t="shared" si="2"/>
        <v>63</v>
      </c>
      <c r="T16" s="45">
        <f>65+1+15+1+8+1+1-1-1-1-1-3+3+1+3-1+1+1+1-1-1-2-1+3-1+1-1-1+1-1-1-1-1-1-1-1-1-1+14</f>
        <v>96</v>
      </c>
      <c r="U16" s="44"/>
      <c r="V16" s="44"/>
      <c r="W16" s="76"/>
      <c r="X16" s="49">
        <f t="shared" si="3"/>
        <v>96</v>
      </c>
      <c r="Y16" s="47"/>
      <c r="Z16" s="47"/>
      <c r="AA16" s="47"/>
      <c r="AB16" s="76"/>
      <c r="AC16" s="59"/>
      <c r="AD16" s="47">
        <f t="shared" si="5"/>
        <v>220</v>
      </c>
      <c r="AE16" s="47">
        <f t="shared" si="6"/>
        <v>0</v>
      </c>
      <c r="AF16" s="47">
        <f t="shared" si="7"/>
        <v>0</v>
      </c>
      <c r="AG16" s="47">
        <f t="shared" si="8"/>
        <v>2</v>
      </c>
      <c r="AH16" s="48">
        <f t="shared" si="9"/>
        <v>220</v>
      </c>
    </row>
    <row r="17" spans="1:34" ht="22.5">
      <c r="A17" s="42">
        <v>12</v>
      </c>
      <c r="B17" s="53" t="s">
        <v>18</v>
      </c>
      <c r="C17" s="50">
        <v>60230100</v>
      </c>
      <c r="D17" s="64" t="s">
        <v>53</v>
      </c>
      <c r="E17" s="79">
        <f>1+1+3+1+18+3+6+1</f>
        <v>34</v>
      </c>
      <c r="F17" s="44"/>
      <c r="G17" s="44"/>
      <c r="H17" s="45"/>
      <c r="I17" s="57">
        <f t="shared" si="0"/>
        <v>34</v>
      </c>
      <c r="J17" s="88">
        <f>1+7+11+7+1+1+1-1-1-1-1</f>
        <v>25</v>
      </c>
      <c r="K17" s="44"/>
      <c r="L17" s="44"/>
      <c r="M17" s="44"/>
      <c r="N17" s="57">
        <f t="shared" si="1"/>
        <v>25</v>
      </c>
      <c r="O17" s="60"/>
      <c r="P17" s="44"/>
      <c r="Q17" s="44"/>
      <c r="R17" s="44"/>
      <c r="S17" s="49">
        <f t="shared" si="2"/>
        <v>0</v>
      </c>
      <c r="T17" s="45">
        <f>10+18+8+12+9+1+1+2+1-1-1-1-1-1-2+2-2-1-1-1</f>
        <v>52</v>
      </c>
      <c r="U17" s="44"/>
      <c r="V17" s="44"/>
      <c r="W17" s="47"/>
      <c r="X17" s="49">
        <f t="shared" si="3"/>
        <v>52</v>
      </c>
      <c r="Y17" s="47"/>
      <c r="Z17" s="47"/>
      <c r="AA17" s="47"/>
      <c r="AB17" s="47"/>
      <c r="AC17" s="49">
        <f aca="true" t="shared" si="10" ref="AC17:AC24">AA16+Z16+Y16</f>
        <v>0</v>
      </c>
      <c r="AD17" s="47">
        <f t="shared" si="5"/>
        <v>111</v>
      </c>
      <c r="AE17" s="47">
        <f t="shared" si="6"/>
        <v>0</v>
      </c>
      <c r="AF17" s="47">
        <f t="shared" si="7"/>
        <v>0</v>
      </c>
      <c r="AG17" s="47">
        <f t="shared" si="8"/>
        <v>0</v>
      </c>
      <c r="AH17" s="48">
        <f t="shared" si="9"/>
        <v>111</v>
      </c>
    </row>
    <row r="18" spans="1:34" ht="22.5">
      <c r="A18" s="42">
        <v>13</v>
      </c>
      <c r="B18" s="53"/>
      <c r="C18" s="50">
        <v>60230100</v>
      </c>
      <c r="D18" s="65" t="s">
        <v>45</v>
      </c>
      <c r="E18" s="79">
        <f>3+11+4+3</f>
        <v>21</v>
      </c>
      <c r="F18" s="44"/>
      <c r="G18" s="45"/>
      <c r="H18" s="44"/>
      <c r="I18" s="57">
        <f t="shared" si="0"/>
        <v>21</v>
      </c>
      <c r="J18" s="60"/>
      <c r="K18" s="44"/>
      <c r="L18" s="45">
        <f>3+7+11+3+1+1-1-1-4</f>
        <v>20</v>
      </c>
      <c r="M18" s="44"/>
      <c r="N18" s="57">
        <f t="shared" si="1"/>
        <v>20</v>
      </c>
      <c r="O18" s="60"/>
      <c r="P18" s="44"/>
      <c r="Q18" s="44"/>
      <c r="R18" s="44"/>
      <c r="S18" s="49">
        <f t="shared" si="2"/>
        <v>0</v>
      </c>
      <c r="T18" s="44"/>
      <c r="U18" s="44"/>
      <c r="V18" s="44"/>
      <c r="W18" s="47"/>
      <c r="X18" s="49">
        <f t="shared" si="3"/>
        <v>0</v>
      </c>
      <c r="Y18" s="47"/>
      <c r="Z18" s="47"/>
      <c r="AA18" s="47"/>
      <c r="AB18" s="47"/>
      <c r="AC18" s="49">
        <f t="shared" si="10"/>
        <v>0</v>
      </c>
      <c r="AD18" s="47">
        <f aca="true" t="shared" si="11" ref="AD18:AF24">E18+J18+O18+T18+Y18</f>
        <v>21</v>
      </c>
      <c r="AE18" s="47">
        <f t="shared" si="11"/>
        <v>0</v>
      </c>
      <c r="AF18" s="47">
        <f t="shared" si="11"/>
        <v>20</v>
      </c>
      <c r="AG18" s="47">
        <f t="shared" si="8"/>
        <v>0</v>
      </c>
      <c r="AH18" s="48">
        <f t="shared" si="9"/>
        <v>41</v>
      </c>
    </row>
    <row r="19" spans="1:34" ht="12.75">
      <c r="A19" s="42">
        <v>14</v>
      </c>
      <c r="B19" s="53"/>
      <c r="C19" s="50">
        <v>60412400</v>
      </c>
      <c r="D19" s="65" t="s">
        <v>46</v>
      </c>
      <c r="E19" s="79"/>
      <c r="F19" s="44"/>
      <c r="G19" s="44"/>
      <c r="H19" s="45"/>
      <c r="I19" s="57">
        <f t="shared" si="0"/>
        <v>0</v>
      </c>
      <c r="J19" s="88">
        <f>7+3+5+1+2-1-1-2-1</f>
        <v>13</v>
      </c>
      <c r="K19" s="44"/>
      <c r="L19" s="44"/>
      <c r="M19" s="44"/>
      <c r="N19" s="57">
        <f t="shared" si="1"/>
        <v>13</v>
      </c>
      <c r="O19" s="60"/>
      <c r="P19" s="44"/>
      <c r="Q19" s="44"/>
      <c r="R19" s="44"/>
      <c r="S19" s="49">
        <f t="shared" si="2"/>
        <v>0</v>
      </c>
      <c r="T19" s="44"/>
      <c r="U19" s="44"/>
      <c r="V19" s="44"/>
      <c r="W19" s="47"/>
      <c r="X19" s="49">
        <f aca="true" t="shared" si="12" ref="X19:X24">V18+U18+T18</f>
        <v>0</v>
      </c>
      <c r="Y19" s="47"/>
      <c r="Z19" s="47"/>
      <c r="AA19" s="47"/>
      <c r="AB19" s="47"/>
      <c r="AC19" s="49">
        <f t="shared" si="10"/>
        <v>0</v>
      </c>
      <c r="AD19" s="47">
        <f t="shared" si="11"/>
        <v>13</v>
      </c>
      <c r="AE19" s="47">
        <f t="shared" si="11"/>
        <v>0</v>
      </c>
      <c r="AF19" s="47">
        <f t="shared" si="11"/>
        <v>0</v>
      </c>
      <c r="AG19" s="47">
        <f t="shared" si="8"/>
        <v>0</v>
      </c>
      <c r="AH19" s="48">
        <f t="shared" si="9"/>
        <v>13</v>
      </c>
    </row>
    <row r="20" spans="1:34" ht="22.5">
      <c r="A20" s="42">
        <v>15</v>
      </c>
      <c r="B20" s="53"/>
      <c r="C20" s="50">
        <v>60420100</v>
      </c>
      <c r="D20" s="65" t="s">
        <v>47</v>
      </c>
      <c r="E20" s="79"/>
      <c r="F20" s="44"/>
      <c r="G20" s="44"/>
      <c r="H20" s="44"/>
      <c r="I20" s="57">
        <f t="shared" si="0"/>
        <v>0</v>
      </c>
      <c r="J20" s="79">
        <f>3+10+10+16+2-2-1</f>
        <v>38</v>
      </c>
      <c r="K20" s="44"/>
      <c r="L20" s="44"/>
      <c r="M20" s="44"/>
      <c r="N20" s="57">
        <f t="shared" si="1"/>
        <v>38</v>
      </c>
      <c r="O20" s="60"/>
      <c r="P20" s="44"/>
      <c r="Q20" s="44"/>
      <c r="R20" s="44"/>
      <c r="S20" s="49">
        <f t="shared" si="2"/>
        <v>0</v>
      </c>
      <c r="T20" s="44"/>
      <c r="U20" s="44"/>
      <c r="V20" s="44"/>
      <c r="W20" s="47"/>
      <c r="X20" s="49">
        <f t="shared" si="12"/>
        <v>0</v>
      </c>
      <c r="Y20" s="47"/>
      <c r="Z20" s="47"/>
      <c r="AA20" s="47"/>
      <c r="AB20" s="47"/>
      <c r="AC20" s="49">
        <f t="shared" si="10"/>
        <v>0</v>
      </c>
      <c r="AD20" s="47">
        <f t="shared" si="11"/>
        <v>38</v>
      </c>
      <c r="AE20" s="47">
        <f t="shared" si="11"/>
        <v>0</v>
      </c>
      <c r="AF20" s="47">
        <f t="shared" si="11"/>
        <v>0</v>
      </c>
      <c r="AG20" s="47">
        <f t="shared" si="8"/>
        <v>0</v>
      </c>
      <c r="AH20" s="48">
        <f t="shared" si="9"/>
        <v>38</v>
      </c>
    </row>
    <row r="21" spans="1:34" ht="12.75">
      <c r="A21" s="42">
        <v>16</v>
      </c>
      <c r="B21" s="53"/>
      <c r="C21" s="50">
        <v>60510100</v>
      </c>
      <c r="D21" s="65" t="s">
        <v>48</v>
      </c>
      <c r="E21" s="79">
        <f>4+2+7-1+3+7+7</f>
        <v>29</v>
      </c>
      <c r="F21" s="44"/>
      <c r="G21" s="44"/>
      <c r="H21" s="44"/>
      <c r="I21" s="57">
        <f t="shared" si="0"/>
        <v>29</v>
      </c>
      <c r="J21" s="79">
        <f>2+10+11-1+6+1+1+2+2+1-1-1-1-1+1-1</f>
        <v>31</v>
      </c>
      <c r="K21" s="44"/>
      <c r="L21" s="44"/>
      <c r="M21" s="44"/>
      <c r="N21" s="57">
        <f t="shared" si="1"/>
        <v>31</v>
      </c>
      <c r="O21" s="60"/>
      <c r="P21" s="44"/>
      <c r="Q21" s="44"/>
      <c r="R21" s="44"/>
      <c r="S21" s="49">
        <f t="shared" si="2"/>
        <v>0</v>
      </c>
      <c r="T21" s="44"/>
      <c r="U21" s="44"/>
      <c r="V21" s="44"/>
      <c r="W21" s="47"/>
      <c r="X21" s="49">
        <f t="shared" si="12"/>
        <v>0</v>
      </c>
      <c r="Y21" s="47"/>
      <c r="Z21" s="47"/>
      <c r="AA21" s="47"/>
      <c r="AB21" s="47"/>
      <c r="AC21" s="49">
        <f t="shared" si="10"/>
        <v>0</v>
      </c>
      <c r="AD21" s="47">
        <f t="shared" si="11"/>
        <v>60</v>
      </c>
      <c r="AE21" s="47">
        <f t="shared" si="11"/>
        <v>0</v>
      </c>
      <c r="AF21" s="47">
        <f t="shared" si="11"/>
        <v>0</v>
      </c>
      <c r="AG21" s="47">
        <f t="shared" si="8"/>
        <v>0</v>
      </c>
      <c r="AH21" s="48">
        <f t="shared" si="9"/>
        <v>60</v>
      </c>
    </row>
    <row r="22" spans="1:34" ht="12.75">
      <c r="A22" s="42">
        <v>17</v>
      </c>
      <c r="B22" s="53"/>
      <c r="C22" s="50">
        <v>60530400</v>
      </c>
      <c r="D22" s="65" t="s">
        <v>49</v>
      </c>
      <c r="E22" s="79">
        <f>1+3+1+9+1+6</f>
        <v>21</v>
      </c>
      <c r="F22" s="44"/>
      <c r="G22" s="44"/>
      <c r="H22" s="44"/>
      <c r="I22" s="57">
        <f t="shared" si="0"/>
        <v>21</v>
      </c>
      <c r="J22" s="60">
        <f>11+6+19+2-1-1+1-1</f>
        <v>36</v>
      </c>
      <c r="K22" s="44"/>
      <c r="L22" s="44"/>
      <c r="M22" s="44"/>
      <c r="N22" s="57">
        <f t="shared" si="1"/>
        <v>36</v>
      </c>
      <c r="O22" s="60"/>
      <c r="P22" s="44"/>
      <c r="Q22" s="44"/>
      <c r="R22" s="44"/>
      <c r="S22" s="49">
        <f t="shared" si="2"/>
        <v>0</v>
      </c>
      <c r="T22" s="44"/>
      <c r="U22" s="44"/>
      <c r="V22" s="44"/>
      <c r="W22" s="47"/>
      <c r="X22" s="49">
        <f t="shared" si="12"/>
        <v>0</v>
      </c>
      <c r="Y22" s="47"/>
      <c r="Z22" s="47"/>
      <c r="AA22" s="47"/>
      <c r="AB22" s="47"/>
      <c r="AC22" s="49">
        <f t="shared" si="10"/>
        <v>0</v>
      </c>
      <c r="AD22" s="47">
        <f t="shared" si="11"/>
        <v>57</v>
      </c>
      <c r="AE22" s="47">
        <f t="shared" si="11"/>
        <v>0</v>
      </c>
      <c r="AF22" s="47">
        <f t="shared" si="11"/>
        <v>0</v>
      </c>
      <c r="AG22" s="47">
        <f t="shared" si="8"/>
        <v>0</v>
      </c>
      <c r="AH22" s="48">
        <f t="shared" si="9"/>
        <v>57</v>
      </c>
    </row>
    <row r="23" spans="1:34" ht="12.75">
      <c r="A23" s="42">
        <v>18</v>
      </c>
      <c r="B23" s="53"/>
      <c r="C23" s="26">
        <v>60310900</v>
      </c>
      <c r="D23" s="26" t="s">
        <v>58</v>
      </c>
      <c r="E23" s="60">
        <f>8+14+4+14+5+6+12</f>
        <v>63</v>
      </c>
      <c r="F23" s="44"/>
      <c r="G23" s="44"/>
      <c r="H23" s="44"/>
      <c r="I23" s="57">
        <f t="shared" si="0"/>
        <v>63</v>
      </c>
      <c r="J23" s="60"/>
      <c r="K23" s="44"/>
      <c r="L23" s="44"/>
      <c r="M23" s="44"/>
      <c r="N23" s="57">
        <f t="shared" si="1"/>
        <v>0</v>
      </c>
      <c r="O23" s="60"/>
      <c r="P23" s="44"/>
      <c r="Q23" s="44"/>
      <c r="R23" s="44"/>
      <c r="S23" s="49">
        <f t="shared" si="2"/>
        <v>0</v>
      </c>
      <c r="T23" s="44"/>
      <c r="U23" s="44"/>
      <c r="V23" s="44"/>
      <c r="W23" s="47"/>
      <c r="X23" s="49">
        <f t="shared" si="12"/>
        <v>0</v>
      </c>
      <c r="Y23" s="47"/>
      <c r="Z23" s="47"/>
      <c r="AA23" s="47"/>
      <c r="AB23" s="47"/>
      <c r="AC23" s="49">
        <f t="shared" si="10"/>
        <v>0</v>
      </c>
      <c r="AD23" s="47">
        <f t="shared" si="11"/>
        <v>63</v>
      </c>
      <c r="AE23" s="47">
        <f>F23+K23+P23+U23+Z23</f>
        <v>0</v>
      </c>
      <c r="AF23" s="47">
        <f>G23+L23+Q23+V23+AA23</f>
        <v>0</v>
      </c>
      <c r="AG23" s="47">
        <f>+AB23+W23+R23+M23+H23</f>
        <v>0</v>
      </c>
      <c r="AH23" s="48">
        <f t="shared" si="9"/>
        <v>63</v>
      </c>
    </row>
    <row r="24" spans="1:34" ht="22.5">
      <c r="A24" s="42">
        <v>19</v>
      </c>
      <c r="B24" s="53"/>
      <c r="C24" s="26">
        <v>60220300</v>
      </c>
      <c r="D24" s="86" t="s">
        <v>59</v>
      </c>
      <c r="E24" s="60">
        <f>5+10+1+19+7+13</f>
        <v>55</v>
      </c>
      <c r="F24" s="44"/>
      <c r="G24" s="44"/>
      <c r="H24" s="44"/>
      <c r="I24" s="57">
        <f t="shared" si="0"/>
        <v>55</v>
      </c>
      <c r="J24" s="60"/>
      <c r="K24" s="44"/>
      <c r="L24" s="44"/>
      <c r="M24" s="44"/>
      <c r="N24" s="57">
        <f t="shared" si="1"/>
        <v>0</v>
      </c>
      <c r="O24" s="60"/>
      <c r="P24" s="44"/>
      <c r="Q24" s="44"/>
      <c r="R24" s="44"/>
      <c r="S24" s="49">
        <f t="shared" si="2"/>
        <v>0</v>
      </c>
      <c r="T24" s="44"/>
      <c r="U24" s="44"/>
      <c r="V24" s="44"/>
      <c r="W24" s="47"/>
      <c r="X24" s="49">
        <f t="shared" si="12"/>
        <v>0</v>
      </c>
      <c r="Y24" s="47"/>
      <c r="Z24" s="47"/>
      <c r="AA24" s="47"/>
      <c r="AB24" s="47"/>
      <c r="AC24" s="49">
        <f t="shared" si="10"/>
        <v>0</v>
      </c>
      <c r="AD24" s="47">
        <f t="shared" si="11"/>
        <v>55</v>
      </c>
      <c r="AE24" s="47">
        <f>F24+K24+P24+U24+Z24</f>
        <v>0</v>
      </c>
      <c r="AF24" s="47">
        <f>G24+L24+Q24+V24+AA24</f>
        <v>0</v>
      </c>
      <c r="AG24" s="47">
        <f>+AB24+W24+R24+M24+H24</f>
        <v>0</v>
      </c>
      <c r="AH24" s="48">
        <f t="shared" si="9"/>
        <v>55</v>
      </c>
    </row>
    <row r="25" spans="1:34" ht="12.75">
      <c r="A25" s="62"/>
      <c r="B25" s="62"/>
      <c r="C25" s="84"/>
      <c r="D25" s="62" t="s">
        <v>5</v>
      </c>
      <c r="E25" s="30">
        <f>SUM(E6:E24)</f>
        <v>329</v>
      </c>
      <c r="F25" s="30">
        <f aca="true" t="shared" si="13" ref="F25:AF25">SUM(F6:F24)</f>
        <v>0</v>
      </c>
      <c r="G25" s="30">
        <f t="shared" si="13"/>
        <v>0</v>
      </c>
      <c r="H25" s="30">
        <f t="shared" si="13"/>
        <v>4</v>
      </c>
      <c r="I25" s="30">
        <f>SUM(I6:I24)</f>
        <v>329</v>
      </c>
      <c r="J25" s="30">
        <f>SUM(J6:J24)</f>
        <v>240</v>
      </c>
      <c r="K25" s="30">
        <f t="shared" si="13"/>
        <v>29</v>
      </c>
      <c r="L25" s="30">
        <f t="shared" si="13"/>
        <v>20</v>
      </c>
      <c r="M25" s="30">
        <f t="shared" si="13"/>
        <v>1</v>
      </c>
      <c r="N25" s="30">
        <f>SUM(N6:N24)</f>
        <v>289</v>
      </c>
      <c r="O25" s="30">
        <f>SUM(O6:O24)</f>
        <v>63</v>
      </c>
      <c r="P25" s="30">
        <f t="shared" si="13"/>
        <v>0</v>
      </c>
      <c r="Q25" s="30">
        <f t="shared" si="13"/>
        <v>0</v>
      </c>
      <c r="R25" s="30">
        <f t="shared" si="13"/>
        <v>23</v>
      </c>
      <c r="S25" s="30">
        <f>SUM(S6:S24)</f>
        <v>63</v>
      </c>
      <c r="T25" s="30">
        <f t="shared" si="13"/>
        <v>613</v>
      </c>
      <c r="U25" s="30">
        <f t="shared" si="13"/>
        <v>0</v>
      </c>
      <c r="V25" s="30">
        <f t="shared" si="13"/>
        <v>0</v>
      </c>
      <c r="W25" s="30">
        <f t="shared" si="13"/>
        <v>6</v>
      </c>
      <c r="X25" s="30">
        <f>SUM(X6:X24)</f>
        <v>613</v>
      </c>
      <c r="Y25" s="30">
        <f t="shared" si="13"/>
        <v>221</v>
      </c>
      <c r="Z25" s="30">
        <f t="shared" si="13"/>
        <v>114</v>
      </c>
      <c r="AA25" s="30">
        <f t="shared" si="13"/>
        <v>0</v>
      </c>
      <c r="AB25" s="30">
        <f t="shared" si="13"/>
        <v>0</v>
      </c>
      <c r="AC25" s="30">
        <f>SUM(AC6:AC24)</f>
        <v>335</v>
      </c>
      <c r="AD25" s="30">
        <f>SUM(AD6:AD24)</f>
        <v>1466</v>
      </c>
      <c r="AE25" s="30">
        <f t="shared" si="13"/>
        <v>143</v>
      </c>
      <c r="AF25" s="30">
        <f t="shared" si="13"/>
        <v>20</v>
      </c>
      <c r="AG25" s="30">
        <f>SUM(AG6:AG24)</f>
        <v>34</v>
      </c>
      <c r="AH25" s="30">
        <f>SUM(AH6:AH24)</f>
        <v>1629</v>
      </c>
    </row>
    <row r="26" ht="12.75">
      <c r="AJ26" s="3">
        <f>+AG25+'[1]контингент'!$AB$80</f>
        <v>118</v>
      </c>
    </row>
    <row r="27" spans="4:10" ht="12.75">
      <c r="D27" s="34" t="s">
        <v>18</v>
      </c>
      <c r="E27" s="33">
        <f>AH25</f>
        <v>1629</v>
      </c>
      <c r="J27" s="37"/>
    </row>
    <row r="28" spans="4:10" ht="12.75">
      <c r="D28" s="35" t="s">
        <v>19</v>
      </c>
      <c r="E28" s="33"/>
      <c r="J28" s="37"/>
    </row>
    <row r="29" spans="4:10" ht="12.75">
      <c r="D29" s="35" t="s">
        <v>20</v>
      </c>
      <c r="E29" s="33"/>
      <c r="J29" s="37"/>
    </row>
    <row r="30" spans="4:10" ht="12.75">
      <c r="D30" s="35" t="s">
        <v>21</v>
      </c>
      <c r="E30" s="33"/>
      <c r="J30" s="37"/>
    </row>
    <row r="31" spans="2:10" ht="12.75">
      <c r="B31" s="55"/>
      <c r="D31" s="36" t="s">
        <v>22</v>
      </c>
      <c r="E31" s="33"/>
      <c r="J31" s="37"/>
    </row>
    <row r="32" spans="4:10" ht="22.5">
      <c r="D32" s="34" t="s">
        <v>23</v>
      </c>
      <c r="E32" s="33"/>
      <c r="J32" s="37"/>
    </row>
    <row r="33" spans="4:10" ht="12.75">
      <c r="D33" s="51"/>
      <c r="E33" s="37"/>
      <c r="J33" s="37"/>
    </row>
    <row r="34" spans="4:5" ht="12.75">
      <c r="D34" s="66" t="s">
        <v>54</v>
      </c>
      <c r="E34" s="67">
        <f>+AH10+AH11+AH17+AH18</f>
        <v>266</v>
      </c>
    </row>
    <row r="35" spans="4:5" ht="22.5">
      <c r="D35" s="68" t="s">
        <v>38</v>
      </c>
      <c r="E35" s="67">
        <f>+AH8+AH12+AH13+AH14+AH15</f>
        <v>527</v>
      </c>
    </row>
    <row r="36" spans="4:5" ht="12.75">
      <c r="D36" s="66" t="s">
        <v>33</v>
      </c>
      <c r="E36" s="67"/>
    </row>
    <row r="37" spans="4:5" ht="12.75">
      <c r="D37" s="69" t="s">
        <v>27</v>
      </c>
      <c r="E37" s="67"/>
    </row>
    <row r="38" spans="4:5" ht="12.75">
      <c r="D38" s="66" t="s">
        <v>34</v>
      </c>
      <c r="E38" s="67">
        <f>+AH19</f>
        <v>13</v>
      </c>
    </row>
    <row r="39" spans="4:5" ht="12.75">
      <c r="D39" s="66" t="s">
        <v>26</v>
      </c>
      <c r="E39" s="67">
        <f>+AH21</f>
        <v>60</v>
      </c>
    </row>
    <row r="40" spans="4:5" ht="12.75">
      <c r="D40" s="66" t="s">
        <v>35</v>
      </c>
      <c r="E40" s="67">
        <f>+AH22+AH7+AH9</f>
        <v>271</v>
      </c>
    </row>
    <row r="41" spans="4:5" ht="12.75">
      <c r="D41" s="66" t="s">
        <v>55</v>
      </c>
      <c r="E41" s="67">
        <f>+AH20</f>
        <v>38</v>
      </c>
    </row>
    <row r="42" spans="4:5" ht="12.75">
      <c r="D42" s="66" t="s">
        <v>36</v>
      </c>
      <c r="E42" s="67">
        <f>+AH6+AH16</f>
        <v>336</v>
      </c>
    </row>
    <row r="43" spans="4:5" ht="12.75">
      <c r="D43" s="70" t="s">
        <v>37</v>
      </c>
      <c r="E43" s="67"/>
    </row>
    <row r="44" spans="4:5" ht="13.5">
      <c r="D44" s="71" t="s">
        <v>56</v>
      </c>
      <c r="E44" s="67"/>
    </row>
  </sheetData>
  <sheetProtection/>
  <mergeCells count="11">
    <mergeCell ref="A1:AH1"/>
    <mergeCell ref="A2:AH2"/>
    <mergeCell ref="A5:AH5"/>
    <mergeCell ref="D3:D4"/>
    <mergeCell ref="C3:C4"/>
    <mergeCell ref="M3:M4"/>
    <mergeCell ref="R3:R4"/>
    <mergeCell ref="W3:W4"/>
    <mergeCell ref="AB3:AB4"/>
    <mergeCell ref="AG3:AG4"/>
    <mergeCell ref="H3:H4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5" sqref="R25"/>
    </sheetView>
  </sheetViews>
  <sheetFormatPr defaultColWidth="9.00390625" defaultRowHeight="12.75"/>
  <cols>
    <col min="1" max="1" width="3.00390625" style="0" customWidth="1"/>
    <col min="2" max="2" width="24.00390625" style="0" hidden="1" customWidth="1"/>
    <col min="3" max="3" width="7.875" style="39" bestFit="1" customWidth="1"/>
    <col min="4" max="4" width="23.25390625" style="0" customWidth="1"/>
    <col min="5" max="5" width="5.75390625" style="0" customWidth="1"/>
    <col min="6" max="6" width="3.375" style="0" customWidth="1"/>
    <col min="7" max="7" width="4.00390625" style="0" customWidth="1"/>
    <col min="8" max="8" width="5.625" style="0" customWidth="1"/>
    <col min="9" max="9" width="5.75390625" style="0" customWidth="1"/>
    <col min="10" max="10" width="3.375" style="0" customWidth="1"/>
    <col min="11" max="11" width="4.00390625" style="0" customWidth="1"/>
    <col min="12" max="12" width="5.625" style="0" customWidth="1"/>
    <col min="13" max="13" width="4.875" style="0" customWidth="1"/>
    <col min="14" max="15" width="3.875" style="0" customWidth="1"/>
    <col min="16" max="16" width="5.25390625" style="0" customWidth="1"/>
    <col min="17" max="17" width="3.875" style="0" customWidth="1"/>
    <col min="18" max="19" width="3.75390625" style="0" customWidth="1"/>
    <col min="20" max="20" width="5.625" style="0" customWidth="1"/>
    <col min="21" max="21" width="3.875" style="0" customWidth="1"/>
    <col min="22" max="23" width="3.75390625" style="0" customWidth="1"/>
    <col min="24" max="24" width="5.625" style="0" customWidth="1"/>
    <col min="25" max="25" width="5.75390625" style="0" customWidth="1"/>
    <col min="26" max="26" width="4.125" style="0" customWidth="1"/>
    <col min="27" max="27" width="4.25390625" style="0" customWidth="1"/>
    <col min="28" max="28" width="6.00390625" style="0" customWidth="1"/>
    <col min="29" max="29" width="18.75390625" style="0" bestFit="1" customWidth="1"/>
    <col min="30" max="30" width="9.125" style="3" customWidth="1"/>
  </cols>
  <sheetData>
    <row r="1" spans="1:28" ht="29.25" customHeight="1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15.75">
      <c r="A2" s="102" t="str">
        <f>контингент!A2</f>
        <v>01.11.2023 йил холати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0" s="9" customFormat="1" ht="12.75">
      <c r="A3" s="18"/>
      <c r="B3" s="20"/>
      <c r="C3" s="97" t="s">
        <v>32</v>
      </c>
      <c r="D3" s="95" t="s">
        <v>0</v>
      </c>
      <c r="E3" s="18"/>
      <c r="F3" s="19" t="s">
        <v>25</v>
      </c>
      <c r="G3" s="20"/>
      <c r="H3" s="21"/>
      <c r="I3" s="18"/>
      <c r="J3" s="19" t="s">
        <v>9</v>
      </c>
      <c r="K3" s="20"/>
      <c r="L3" s="21"/>
      <c r="M3" s="18"/>
      <c r="N3" s="19" t="s">
        <v>10</v>
      </c>
      <c r="O3" s="20"/>
      <c r="P3" s="21"/>
      <c r="Q3" s="18"/>
      <c r="R3" s="19" t="s">
        <v>1</v>
      </c>
      <c r="S3" s="20"/>
      <c r="T3" s="21"/>
      <c r="U3" s="18"/>
      <c r="V3" s="19" t="s">
        <v>44</v>
      </c>
      <c r="W3" s="20"/>
      <c r="X3" s="21"/>
      <c r="Y3" s="18"/>
      <c r="Z3" s="19" t="s">
        <v>5</v>
      </c>
      <c r="AA3" s="20"/>
      <c r="AB3" s="22"/>
      <c r="AD3" s="11"/>
    </row>
    <row r="4" spans="1:30" s="9" customFormat="1" ht="12.75">
      <c r="A4" s="23"/>
      <c r="B4" s="52"/>
      <c r="C4" s="98"/>
      <c r="D4" s="96"/>
      <c r="E4" s="22" t="s">
        <v>2</v>
      </c>
      <c r="F4" s="22" t="s">
        <v>6</v>
      </c>
      <c r="G4" s="22" t="s">
        <v>4</v>
      </c>
      <c r="H4" s="22" t="s">
        <v>5</v>
      </c>
      <c r="I4" s="22" t="s">
        <v>2</v>
      </c>
      <c r="J4" s="22" t="s">
        <v>6</v>
      </c>
      <c r="K4" s="22" t="s">
        <v>4</v>
      </c>
      <c r="L4" s="22" t="s">
        <v>5</v>
      </c>
      <c r="M4" s="22" t="s">
        <v>8</v>
      </c>
      <c r="N4" s="22" t="s">
        <v>6</v>
      </c>
      <c r="O4" s="22" t="s">
        <v>7</v>
      </c>
      <c r="P4" s="22" t="s">
        <v>5</v>
      </c>
      <c r="Q4" s="22" t="s">
        <v>2</v>
      </c>
      <c r="R4" s="22" t="s">
        <v>6</v>
      </c>
      <c r="S4" s="22" t="s">
        <v>7</v>
      </c>
      <c r="T4" s="22" t="s">
        <v>5</v>
      </c>
      <c r="U4" s="22" t="s">
        <v>2</v>
      </c>
      <c r="V4" s="22" t="s">
        <v>6</v>
      </c>
      <c r="W4" s="22" t="s">
        <v>7</v>
      </c>
      <c r="X4" s="22" t="s">
        <v>5</v>
      </c>
      <c r="Y4" s="22" t="s">
        <v>2</v>
      </c>
      <c r="Z4" s="22" t="s">
        <v>3</v>
      </c>
      <c r="AA4" s="22" t="s">
        <v>4</v>
      </c>
      <c r="AB4" s="22" t="s">
        <v>5</v>
      </c>
      <c r="AD4" s="11"/>
    </row>
    <row r="5" spans="1:28" ht="12.75">
      <c r="A5" s="93" t="s">
        <v>29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12.75">
      <c r="A6" s="24">
        <v>1</v>
      </c>
      <c r="B6" s="54" t="s">
        <v>36</v>
      </c>
      <c r="C6" s="41">
        <v>60540100</v>
      </c>
      <c r="D6" s="63" t="s">
        <v>13</v>
      </c>
      <c r="E6" s="78"/>
      <c r="F6" s="44"/>
      <c r="G6" s="44"/>
      <c r="H6" s="27">
        <f aca="true" t="shared" si="0" ref="H6:H24">E6+F6+G6</f>
        <v>0</v>
      </c>
      <c r="I6" s="61"/>
      <c r="J6" s="44"/>
      <c r="K6" s="44"/>
      <c r="L6" s="27">
        <f aca="true" t="shared" si="1" ref="L6:L24">I6+J6+K6</f>
        <v>0</v>
      </c>
      <c r="M6" s="25"/>
      <c r="N6" s="26"/>
      <c r="O6" s="26"/>
      <c r="P6" s="32">
        <f aca="true" t="shared" si="2" ref="P6:P24">M6+N6+O6</f>
        <v>0</v>
      </c>
      <c r="Q6" s="25"/>
      <c r="R6" s="26"/>
      <c r="S6" s="26"/>
      <c r="T6" s="32">
        <f aca="true" t="shared" si="3" ref="T6:T16">S6+R6+Q6</f>
        <v>0</v>
      </c>
      <c r="U6" s="31"/>
      <c r="V6" s="31"/>
      <c r="W6" s="31"/>
      <c r="X6" s="32">
        <f aca="true" t="shared" si="4" ref="X6:X11">W6+V6+U6</f>
        <v>0</v>
      </c>
      <c r="Y6" s="31">
        <f>E6+I6+M6+Q6+U6</f>
        <v>0</v>
      </c>
      <c r="Z6" s="31">
        <f aca="true" t="shared" si="5" ref="Z6:Z17">F6+J6+N6+R6+V6</f>
        <v>0</v>
      </c>
      <c r="AA6" s="31">
        <f aca="true" t="shared" si="6" ref="AA6:AA17">G6+K6+O6+S6+W6</f>
        <v>0</v>
      </c>
      <c r="AB6" s="28">
        <f>Y6+Z6+AA6</f>
        <v>0</v>
      </c>
    </row>
    <row r="7" spans="1:30" s="13" customFormat="1" ht="12.75">
      <c r="A7" s="24">
        <v>2</v>
      </c>
      <c r="B7" s="54" t="s">
        <v>35</v>
      </c>
      <c r="C7" s="41">
        <v>60530900</v>
      </c>
      <c r="D7" s="64" t="s">
        <v>50</v>
      </c>
      <c r="E7" s="78">
        <v>1</v>
      </c>
      <c r="F7" s="44"/>
      <c r="G7" s="44"/>
      <c r="H7" s="27">
        <f t="shared" si="0"/>
        <v>1</v>
      </c>
      <c r="I7" s="61"/>
      <c r="J7" s="44"/>
      <c r="K7" s="44"/>
      <c r="L7" s="27">
        <f t="shared" si="1"/>
        <v>0</v>
      </c>
      <c r="M7" s="25"/>
      <c r="N7" s="26"/>
      <c r="O7" s="26"/>
      <c r="P7" s="32">
        <f t="shared" si="2"/>
        <v>0</v>
      </c>
      <c r="Q7" s="25"/>
      <c r="R7" s="26"/>
      <c r="S7" s="26"/>
      <c r="T7" s="32">
        <f t="shared" si="3"/>
        <v>0</v>
      </c>
      <c r="U7" s="31"/>
      <c r="V7" s="31"/>
      <c r="W7" s="31"/>
      <c r="X7" s="32">
        <f t="shared" si="4"/>
        <v>0</v>
      </c>
      <c r="Y7" s="31">
        <f aca="true" t="shared" si="7" ref="Y7:Y17">E7+I7+M7+Q7+U7</f>
        <v>1</v>
      </c>
      <c r="Z7" s="31">
        <f t="shared" si="5"/>
        <v>0</v>
      </c>
      <c r="AA7" s="31">
        <f t="shared" si="6"/>
        <v>0</v>
      </c>
      <c r="AB7" s="28">
        <f aca="true" t="shared" si="8" ref="AB7:AB22">Y7+Z7+AA7</f>
        <v>1</v>
      </c>
      <c r="AD7" s="14"/>
    </row>
    <row r="8" spans="1:28" ht="22.5">
      <c r="A8" s="24">
        <v>3</v>
      </c>
      <c r="B8" s="54" t="s">
        <v>36</v>
      </c>
      <c r="C8" s="41">
        <v>60540200</v>
      </c>
      <c r="D8" s="65" t="s">
        <v>24</v>
      </c>
      <c r="E8" s="60"/>
      <c r="F8" s="44"/>
      <c r="G8" s="44"/>
      <c r="H8" s="27">
        <f t="shared" si="0"/>
        <v>0</v>
      </c>
      <c r="I8" s="60"/>
      <c r="J8" s="44"/>
      <c r="K8" s="44"/>
      <c r="L8" s="27">
        <f t="shared" si="1"/>
        <v>0</v>
      </c>
      <c r="M8" s="26"/>
      <c r="N8" s="26"/>
      <c r="O8" s="26"/>
      <c r="P8" s="32">
        <f t="shared" si="2"/>
        <v>0</v>
      </c>
      <c r="Q8" s="26"/>
      <c r="R8" s="26"/>
      <c r="S8" s="26"/>
      <c r="T8" s="32">
        <f t="shared" si="3"/>
        <v>0</v>
      </c>
      <c r="U8" s="31"/>
      <c r="V8" s="31"/>
      <c r="W8" s="31"/>
      <c r="X8" s="32">
        <f t="shared" si="4"/>
        <v>0</v>
      </c>
      <c r="Y8" s="31">
        <f t="shared" si="7"/>
        <v>0</v>
      </c>
      <c r="Z8" s="31">
        <f>F8+J8+N8+R8+V8</f>
        <v>0</v>
      </c>
      <c r="AA8" s="31">
        <f t="shared" si="6"/>
        <v>0</v>
      </c>
      <c r="AB8" s="28">
        <f t="shared" si="8"/>
        <v>0</v>
      </c>
    </row>
    <row r="9" spans="1:28" ht="12.75">
      <c r="A9" s="24">
        <v>4</v>
      </c>
      <c r="B9" s="54" t="s">
        <v>35</v>
      </c>
      <c r="C9" s="50">
        <v>60530100</v>
      </c>
      <c r="D9" s="63" t="s">
        <v>12</v>
      </c>
      <c r="E9" s="79"/>
      <c r="F9" s="44"/>
      <c r="G9" s="44"/>
      <c r="H9" s="27">
        <f t="shared" si="0"/>
        <v>0</v>
      </c>
      <c r="I9" s="60"/>
      <c r="J9" s="44"/>
      <c r="K9" s="44"/>
      <c r="L9" s="27">
        <f t="shared" si="1"/>
        <v>0</v>
      </c>
      <c r="M9" s="26"/>
      <c r="N9" s="26"/>
      <c r="O9" s="26"/>
      <c r="P9" s="32">
        <f t="shared" si="2"/>
        <v>0</v>
      </c>
      <c r="Q9" s="26"/>
      <c r="R9" s="26"/>
      <c r="S9" s="26"/>
      <c r="T9" s="32">
        <f t="shared" si="3"/>
        <v>0</v>
      </c>
      <c r="U9" s="31"/>
      <c r="V9" s="31"/>
      <c r="W9" s="31"/>
      <c r="X9" s="32">
        <f t="shared" si="4"/>
        <v>0</v>
      </c>
      <c r="Y9" s="31">
        <f t="shared" si="7"/>
        <v>0</v>
      </c>
      <c r="Z9" s="31">
        <f t="shared" si="5"/>
        <v>0</v>
      </c>
      <c r="AA9" s="31">
        <f>G9+K9+O9+S9+W9</f>
        <v>0</v>
      </c>
      <c r="AB9" s="28">
        <f t="shared" si="8"/>
        <v>0</v>
      </c>
    </row>
    <row r="10" spans="1:28" ht="22.5">
      <c r="A10" s="24">
        <v>5</v>
      </c>
      <c r="B10" s="53" t="s">
        <v>18</v>
      </c>
      <c r="C10" s="50">
        <v>60230100</v>
      </c>
      <c r="D10" s="64" t="s">
        <v>51</v>
      </c>
      <c r="E10" s="60"/>
      <c r="F10" s="44"/>
      <c r="G10" s="44"/>
      <c r="H10" s="27">
        <f t="shared" si="0"/>
        <v>0</v>
      </c>
      <c r="I10" s="60"/>
      <c r="J10" s="44">
        <v>1</v>
      </c>
      <c r="K10" s="44"/>
      <c r="L10" s="27">
        <f t="shared" si="1"/>
        <v>1</v>
      </c>
      <c r="M10" s="26"/>
      <c r="N10" s="26"/>
      <c r="O10" s="26"/>
      <c r="P10" s="32">
        <f t="shared" si="2"/>
        <v>0</v>
      </c>
      <c r="Q10" s="26"/>
      <c r="R10" s="26"/>
      <c r="S10" s="26"/>
      <c r="T10" s="32">
        <f>S10+R10+Q10</f>
        <v>0</v>
      </c>
      <c r="U10" s="31"/>
      <c r="V10" s="31"/>
      <c r="W10" s="31"/>
      <c r="X10" s="32">
        <f t="shared" si="4"/>
        <v>0</v>
      </c>
      <c r="Y10" s="31">
        <f t="shared" si="7"/>
        <v>0</v>
      </c>
      <c r="Z10" s="31">
        <f t="shared" si="5"/>
        <v>1</v>
      </c>
      <c r="AA10" s="31">
        <f t="shared" si="6"/>
        <v>0</v>
      </c>
      <c r="AB10" s="28">
        <f t="shared" si="8"/>
        <v>1</v>
      </c>
    </row>
    <row r="11" spans="1:28" ht="33.75">
      <c r="A11" s="24">
        <v>6</v>
      </c>
      <c r="B11" s="53" t="s">
        <v>18</v>
      </c>
      <c r="C11" s="50">
        <v>60111500</v>
      </c>
      <c r="D11" s="64" t="s">
        <v>52</v>
      </c>
      <c r="E11" s="60"/>
      <c r="F11" s="44"/>
      <c r="G11" s="44"/>
      <c r="H11" s="27">
        <f t="shared" si="0"/>
        <v>0</v>
      </c>
      <c r="I11" s="60"/>
      <c r="J11" s="44"/>
      <c r="K11" s="44"/>
      <c r="L11" s="27">
        <f t="shared" si="1"/>
        <v>0</v>
      </c>
      <c r="M11" s="26"/>
      <c r="N11" s="26"/>
      <c r="O11" s="26"/>
      <c r="P11" s="32">
        <f t="shared" si="2"/>
        <v>0</v>
      </c>
      <c r="Q11" s="26"/>
      <c r="R11" s="26"/>
      <c r="S11" s="26"/>
      <c r="T11" s="32">
        <f>S11+R11+Q11</f>
        <v>0</v>
      </c>
      <c r="U11" s="31"/>
      <c r="V11" s="31"/>
      <c r="W11" s="31"/>
      <c r="X11" s="32">
        <f t="shared" si="4"/>
        <v>0</v>
      </c>
      <c r="Y11" s="31">
        <f t="shared" si="7"/>
        <v>0</v>
      </c>
      <c r="Z11" s="31">
        <f t="shared" si="5"/>
        <v>0</v>
      </c>
      <c r="AA11" s="31">
        <f t="shared" si="6"/>
        <v>0</v>
      </c>
      <c r="AB11" s="28">
        <f t="shared" si="8"/>
        <v>0</v>
      </c>
    </row>
    <row r="12" spans="1:28" ht="12.75">
      <c r="A12" s="24">
        <v>7</v>
      </c>
      <c r="B12" s="56" t="s">
        <v>43</v>
      </c>
      <c r="C12" s="41">
        <v>60110200</v>
      </c>
      <c r="D12" s="63" t="s">
        <v>31</v>
      </c>
      <c r="E12" s="60"/>
      <c r="F12" s="44"/>
      <c r="G12" s="44"/>
      <c r="H12" s="27">
        <f t="shared" si="0"/>
        <v>0</v>
      </c>
      <c r="I12" s="60"/>
      <c r="J12" s="44"/>
      <c r="K12" s="44"/>
      <c r="L12" s="27">
        <f t="shared" si="1"/>
        <v>0</v>
      </c>
      <c r="M12" s="26"/>
      <c r="N12" s="26"/>
      <c r="O12" s="26"/>
      <c r="P12" s="32">
        <f t="shared" si="2"/>
        <v>0</v>
      </c>
      <c r="Q12" s="26">
        <v>2</v>
      </c>
      <c r="R12" s="26"/>
      <c r="S12" s="26"/>
      <c r="T12" s="32">
        <f t="shared" si="3"/>
        <v>2</v>
      </c>
      <c r="U12" s="31"/>
      <c r="V12" s="31"/>
      <c r="W12" s="31"/>
      <c r="X12" s="32">
        <f>W12+V12+U12</f>
        <v>0</v>
      </c>
      <c r="Y12" s="31">
        <f t="shared" si="7"/>
        <v>2</v>
      </c>
      <c r="Z12" s="31">
        <f t="shared" si="5"/>
        <v>0</v>
      </c>
      <c r="AA12" s="31">
        <f t="shared" si="6"/>
        <v>0</v>
      </c>
      <c r="AB12" s="28">
        <f t="shared" si="8"/>
        <v>2</v>
      </c>
    </row>
    <row r="13" spans="1:28" ht="12.75">
      <c r="A13" s="24">
        <v>8</v>
      </c>
      <c r="B13" s="56" t="s">
        <v>43</v>
      </c>
      <c r="C13" s="85">
        <v>60110600</v>
      </c>
      <c r="D13" s="64" t="s">
        <v>39</v>
      </c>
      <c r="E13" s="60"/>
      <c r="F13" s="44"/>
      <c r="G13" s="44"/>
      <c r="H13" s="27">
        <f t="shared" si="0"/>
        <v>0</v>
      </c>
      <c r="I13" s="60"/>
      <c r="J13" s="44"/>
      <c r="K13" s="44"/>
      <c r="L13" s="27">
        <f t="shared" si="1"/>
        <v>0</v>
      </c>
      <c r="M13" s="26"/>
      <c r="N13" s="26"/>
      <c r="O13" s="26"/>
      <c r="P13" s="32">
        <f t="shared" si="2"/>
        <v>0</v>
      </c>
      <c r="Q13" s="26">
        <v>1</v>
      </c>
      <c r="R13" s="26"/>
      <c r="S13" s="26"/>
      <c r="T13" s="32">
        <f t="shared" si="3"/>
        <v>1</v>
      </c>
      <c r="U13" s="31"/>
      <c r="V13" s="31"/>
      <c r="W13" s="31"/>
      <c r="X13" s="32">
        <f>W13+V13+U13</f>
        <v>0</v>
      </c>
      <c r="Y13" s="31">
        <f t="shared" si="7"/>
        <v>1</v>
      </c>
      <c r="Z13" s="31">
        <f t="shared" si="5"/>
        <v>0</v>
      </c>
      <c r="AA13" s="31">
        <f t="shared" si="6"/>
        <v>0</v>
      </c>
      <c r="AB13" s="28">
        <f t="shared" si="8"/>
        <v>1</v>
      </c>
    </row>
    <row r="14" spans="1:28" ht="12.75">
      <c r="A14" s="24">
        <v>9</v>
      </c>
      <c r="B14" s="56" t="s">
        <v>43</v>
      </c>
      <c r="C14" s="85">
        <v>60110700</v>
      </c>
      <c r="D14" s="64" t="s">
        <v>40</v>
      </c>
      <c r="E14" s="60"/>
      <c r="F14" s="44"/>
      <c r="G14" s="44"/>
      <c r="H14" s="27">
        <f t="shared" si="0"/>
        <v>0</v>
      </c>
      <c r="I14" s="60"/>
      <c r="J14" s="44"/>
      <c r="K14" s="44"/>
      <c r="L14" s="27">
        <f t="shared" si="1"/>
        <v>0</v>
      </c>
      <c r="M14" s="26"/>
      <c r="N14" s="26"/>
      <c r="O14" s="26"/>
      <c r="P14" s="32">
        <f t="shared" si="2"/>
        <v>0</v>
      </c>
      <c r="Q14" s="26"/>
      <c r="R14" s="26"/>
      <c r="S14" s="26"/>
      <c r="T14" s="32">
        <f t="shared" si="3"/>
        <v>0</v>
      </c>
      <c r="U14" s="31"/>
      <c r="V14" s="31"/>
      <c r="W14" s="31"/>
      <c r="X14" s="32">
        <f>W14+V14+U14</f>
        <v>0</v>
      </c>
      <c r="Y14" s="31">
        <f t="shared" si="7"/>
        <v>0</v>
      </c>
      <c r="Z14" s="31">
        <f t="shared" si="5"/>
        <v>0</v>
      </c>
      <c r="AA14" s="31">
        <f t="shared" si="6"/>
        <v>0</v>
      </c>
      <c r="AB14" s="28">
        <f t="shared" si="8"/>
        <v>0</v>
      </c>
    </row>
    <row r="15" spans="1:28" ht="12.75">
      <c r="A15" s="24">
        <v>10</v>
      </c>
      <c r="B15" s="56" t="s">
        <v>43</v>
      </c>
      <c r="C15" s="85">
        <v>60110800</v>
      </c>
      <c r="D15" s="64" t="s">
        <v>12</v>
      </c>
      <c r="E15" s="60"/>
      <c r="F15" s="44"/>
      <c r="G15" s="44"/>
      <c r="H15" s="27">
        <f t="shared" si="0"/>
        <v>0</v>
      </c>
      <c r="I15" s="60"/>
      <c r="J15" s="44"/>
      <c r="K15" s="44"/>
      <c r="L15" s="27">
        <f t="shared" si="1"/>
        <v>0</v>
      </c>
      <c r="M15" s="26"/>
      <c r="N15" s="26"/>
      <c r="O15" s="26"/>
      <c r="P15" s="32">
        <f t="shared" si="2"/>
        <v>0</v>
      </c>
      <c r="Q15" s="26">
        <v>1</v>
      </c>
      <c r="R15" s="26"/>
      <c r="S15" s="26"/>
      <c r="T15" s="32">
        <f t="shared" si="3"/>
        <v>1</v>
      </c>
      <c r="U15" s="31"/>
      <c r="V15" s="31"/>
      <c r="W15" s="31"/>
      <c r="X15" s="32">
        <f>W15+V15+U15</f>
        <v>0</v>
      </c>
      <c r="Y15" s="31">
        <f t="shared" si="7"/>
        <v>1</v>
      </c>
      <c r="Z15" s="31">
        <f t="shared" si="5"/>
        <v>0</v>
      </c>
      <c r="AA15" s="31">
        <f t="shared" si="6"/>
        <v>0</v>
      </c>
      <c r="AB15" s="28">
        <f t="shared" si="8"/>
        <v>1</v>
      </c>
    </row>
    <row r="16" spans="1:28" ht="12.75">
      <c r="A16" s="24">
        <v>11</v>
      </c>
      <c r="B16" s="54" t="s">
        <v>36</v>
      </c>
      <c r="C16" s="85">
        <v>60540200</v>
      </c>
      <c r="D16" s="64" t="s">
        <v>11</v>
      </c>
      <c r="E16" s="60"/>
      <c r="F16" s="44"/>
      <c r="G16" s="44"/>
      <c r="H16" s="27">
        <f t="shared" si="0"/>
        <v>0</v>
      </c>
      <c r="I16" s="60"/>
      <c r="J16" s="44"/>
      <c r="K16" s="44"/>
      <c r="L16" s="27">
        <f t="shared" si="1"/>
        <v>0</v>
      </c>
      <c r="M16" s="26"/>
      <c r="N16" s="26"/>
      <c r="O16" s="26"/>
      <c r="P16" s="32">
        <f t="shared" si="2"/>
        <v>0</v>
      </c>
      <c r="Q16" s="26"/>
      <c r="R16" s="26"/>
      <c r="S16" s="26"/>
      <c r="T16" s="32">
        <f t="shared" si="3"/>
        <v>0</v>
      </c>
      <c r="U16" s="31"/>
      <c r="V16" s="31"/>
      <c r="W16" s="31"/>
      <c r="X16" s="32">
        <f>W16+V16+U16</f>
        <v>0</v>
      </c>
      <c r="Y16" s="31">
        <f t="shared" si="7"/>
        <v>0</v>
      </c>
      <c r="Z16" s="31">
        <f t="shared" si="5"/>
        <v>0</v>
      </c>
      <c r="AA16" s="31">
        <f t="shared" si="6"/>
        <v>0</v>
      </c>
      <c r="AB16" s="28">
        <f t="shared" si="8"/>
        <v>0</v>
      </c>
    </row>
    <row r="17" spans="1:28" ht="22.5">
      <c r="A17" s="24">
        <v>12</v>
      </c>
      <c r="B17" s="53" t="s">
        <v>18</v>
      </c>
      <c r="C17" s="50">
        <v>60230100</v>
      </c>
      <c r="D17" s="64" t="s">
        <v>53</v>
      </c>
      <c r="E17" s="79">
        <v>1</v>
      </c>
      <c r="F17" s="44"/>
      <c r="G17" s="44"/>
      <c r="H17" s="45">
        <f t="shared" si="0"/>
        <v>1</v>
      </c>
      <c r="I17" s="60">
        <v>1</v>
      </c>
      <c r="J17" s="44"/>
      <c r="K17" s="44"/>
      <c r="L17" s="45">
        <f t="shared" si="1"/>
        <v>1</v>
      </c>
      <c r="M17" s="44"/>
      <c r="N17" s="44"/>
      <c r="O17" s="44"/>
      <c r="P17" s="46">
        <f t="shared" si="2"/>
        <v>0</v>
      </c>
      <c r="Q17" s="44"/>
      <c r="R17" s="44"/>
      <c r="S17" s="44"/>
      <c r="T17" s="46">
        <f aca="true" t="shared" si="9" ref="T17:T24">S16+R16+Q16</f>
        <v>0</v>
      </c>
      <c r="U17" s="47"/>
      <c r="V17" s="47"/>
      <c r="W17" s="47"/>
      <c r="X17" s="46">
        <f aca="true" t="shared" si="10" ref="X17:X24">W16+V16+U16</f>
        <v>0</v>
      </c>
      <c r="Y17" s="31">
        <f t="shared" si="7"/>
        <v>2</v>
      </c>
      <c r="Z17" s="31">
        <f t="shared" si="5"/>
        <v>0</v>
      </c>
      <c r="AA17" s="31">
        <f t="shared" si="6"/>
        <v>0</v>
      </c>
      <c r="AB17" s="28">
        <f t="shared" si="8"/>
        <v>2</v>
      </c>
    </row>
    <row r="18" spans="1:28" ht="22.5">
      <c r="A18" s="24">
        <v>13</v>
      </c>
      <c r="B18" s="53"/>
      <c r="C18" s="50">
        <v>60230100</v>
      </c>
      <c r="D18" s="65" t="s">
        <v>45</v>
      </c>
      <c r="E18" s="60"/>
      <c r="F18" s="44"/>
      <c r="G18" s="44"/>
      <c r="H18" s="45">
        <f t="shared" si="0"/>
        <v>0</v>
      </c>
      <c r="I18" s="60"/>
      <c r="J18" s="44"/>
      <c r="K18" s="44"/>
      <c r="L18" s="45">
        <f t="shared" si="1"/>
        <v>0</v>
      </c>
      <c r="M18" s="44"/>
      <c r="N18" s="44"/>
      <c r="O18" s="44"/>
      <c r="P18" s="46">
        <f t="shared" si="2"/>
        <v>0</v>
      </c>
      <c r="Q18" s="44"/>
      <c r="R18" s="44"/>
      <c r="S18" s="44"/>
      <c r="T18" s="46">
        <f t="shared" si="9"/>
        <v>0</v>
      </c>
      <c r="U18" s="47"/>
      <c r="V18" s="47"/>
      <c r="W18" s="47"/>
      <c r="X18" s="46">
        <f t="shared" si="10"/>
        <v>0</v>
      </c>
      <c r="Y18" s="31">
        <f aca="true" t="shared" si="11" ref="Y18:AA22">E18+I18+M18+Q18+U18</f>
        <v>0</v>
      </c>
      <c r="Z18" s="31">
        <f t="shared" si="11"/>
        <v>0</v>
      </c>
      <c r="AA18" s="31">
        <f t="shared" si="11"/>
        <v>0</v>
      </c>
      <c r="AB18" s="28">
        <f t="shared" si="8"/>
        <v>0</v>
      </c>
    </row>
    <row r="19" spans="1:28" ht="22.5">
      <c r="A19" s="24">
        <v>14</v>
      </c>
      <c r="B19" s="53"/>
      <c r="C19" s="50">
        <v>60412400</v>
      </c>
      <c r="D19" s="65" t="s">
        <v>46</v>
      </c>
      <c r="E19" s="79"/>
      <c r="F19" s="44"/>
      <c r="G19" s="44"/>
      <c r="H19" s="45">
        <f t="shared" si="0"/>
        <v>0</v>
      </c>
      <c r="I19" s="60"/>
      <c r="J19" s="44"/>
      <c r="K19" s="44"/>
      <c r="L19" s="45">
        <f t="shared" si="1"/>
        <v>0</v>
      </c>
      <c r="M19" s="44"/>
      <c r="N19" s="44"/>
      <c r="O19" s="44"/>
      <c r="P19" s="46">
        <f t="shared" si="2"/>
        <v>0</v>
      </c>
      <c r="Q19" s="44"/>
      <c r="R19" s="44"/>
      <c r="S19" s="44"/>
      <c r="T19" s="46">
        <f t="shared" si="9"/>
        <v>0</v>
      </c>
      <c r="U19" s="47"/>
      <c r="V19" s="47"/>
      <c r="W19" s="47"/>
      <c r="X19" s="46">
        <f t="shared" si="10"/>
        <v>0</v>
      </c>
      <c r="Y19" s="31">
        <f t="shared" si="11"/>
        <v>0</v>
      </c>
      <c r="Z19" s="31">
        <f t="shared" si="11"/>
        <v>0</v>
      </c>
      <c r="AA19" s="31">
        <f t="shared" si="11"/>
        <v>0</v>
      </c>
      <c r="AB19" s="28">
        <f t="shared" si="8"/>
        <v>0</v>
      </c>
    </row>
    <row r="20" spans="1:28" ht="22.5">
      <c r="A20" s="24">
        <v>15</v>
      </c>
      <c r="B20" s="53"/>
      <c r="C20" s="50">
        <v>60420100</v>
      </c>
      <c r="D20" s="65" t="s">
        <v>47</v>
      </c>
      <c r="E20" s="79"/>
      <c r="F20" s="44"/>
      <c r="G20" s="44"/>
      <c r="H20" s="45">
        <f t="shared" si="0"/>
        <v>0</v>
      </c>
      <c r="I20" s="60">
        <f>3-2</f>
        <v>1</v>
      </c>
      <c r="J20" s="44"/>
      <c r="K20" s="44"/>
      <c r="L20" s="45">
        <f t="shared" si="1"/>
        <v>1</v>
      </c>
      <c r="M20" s="44"/>
      <c r="N20" s="44"/>
      <c r="O20" s="44"/>
      <c r="P20" s="46">
        <f t="shared" si="2"/>
        <v>0</v>
      </c>
      <c r="Q20" s="44"/>
      <c r="R20" s="44"/>
      <c r="S20" s="44"/>
      <c r="T20" s="46">
        <f t="shared" si="9"/>
        <v>0</v>
      </c>
      <c r="U20" s="47"/>
      <c r="V20" s="47"/>
      <c r="W20" s="47"/>
      <c r="X20" s="46">
        <f t="shared" si="10"/>
        <v>0</v>
      </c>
      <c r="Y20" s="31">
        <f t="shared" si="11"/>
        <v>1</v>
      </c>
      <c r="Z20" s="31">
        <f t="shared" si="11"/>
        <v>0</v>
      </c>
      <c r="AA20" s="31">
        <f t="shared" si="11"/>
        <v>0</v>
      </c>
      <c r="AB20" s="28">
        <f t="shared" si="8"/>
        <v>1</v>
      </c>
    </row>
    <row r="21" spans="1:28" ht="12.75">
      <c r="A21" s="24">
        <v>16</v>
      </c>
      <c r="B21" s="53"/>
      <c r="C21" s="50">
        <v>60510100</v>
      </c>
      <c r="D21" s="65" t="s">
        <v>48</v>
      </c>
      <c r="E21" s="79">
        <v>4</v>
      </c>
      <c r="F21" s="44"/>
      <c r="G21" s="44"/>
      <c r="H21" s="45">
        <f t="shared" si="0"/>
        <v>4</v>
      </c>
      <c r="I21" s="60">
        <f>2-1</f>
        <v>1</v>
      </c>
      <c r="J21" s="44"/>
      <c r="K21" s="44"/>
      <c r="L21" s="45">
        <f t="shared" si="1"/>
        <v>1</v>
      </c>
      <c r="M21" s="44"/>
      <c r="N21" s="44"/>
      <c r="O21" s="44"/>
      <c r="P21" s="46">
        <f t="shared" si="2"/>
        <v>0</v>
      </c>
      <c r="Q21" s="44"/>
      <c r="R21" s="44"/>
      <c r="S21" s="44"/>
      <c r="T21" s="46">
        <f t="shared" si="9"/>
        <v>0</v>
      </c>
      <c r="U21" s="47"/>
      <c r="V21" s="47"/>
      <c r="W21" s="47"/>
      <c r="X21" s="46">
        <f t="shared" si="10"/>
        <v>0</v>
      </c>
      <c r="Y21" s="31">
        <f t="shared" si="11"/>
        <v>5</v>
      </c>
      <c r="Z21" s="31">
        <f t="shared" si="11"/>
        <v>0</v>
      </c>
      <c r="AA21" s="31">
        <f t="shared" si="11"/>
        <v>0</v>
      </c>
      <c r="AB21" s="28">
        <f t="shared" si="8"/>
        <v>5</v>
      </c>
    </row>
    <row r="22" spans="1:28" ht="12.75">
      <c r="A22" s="24">
        <v>17</v>
      </c>
      <c r="B22" s="53"/>
      <c r="C22" s="50">
        <v>60530400</v>
      </c>
      <c r="D22" s="65" t="s">
        <v>49</v>
      </c>
      <c r="E22" s="60"/>
      <c r="F22" s="44"/>
      <c r="G22" s="44"/>
      <c r="H22" s="45">
        <f t="shared" si="0"/>
        <v>0</v>
      </c>
      <c r="I22" s="60"/>
      <c r="J22" s="44"/>
      <c r="K22" s="44"/>
      <c r="L22" s="45">
        <f t="shared" si="1"/>
        <v>0</v>
      </c>
      <c r="M22" s="44"/>
      <c r="N22" s="44"/>
      <c r="O22" s="44"/>
      <c r="P22" s="46">
        <f t="shared" si="2"/>
        <v>0</v>
      </c>
      <c r="Q22" s="44"/>
      <c r="R22" s="44"/>
      <c r="S22" s="44"/>
      <c r="T22" s="46">
        <f t="shared" si="9"/>
        <v>0</v>
      </c>
      <c r="U22" s="47"/>
      <c r="V22" s="47"/>
      <c r="W22" s="47"/>
      <c r="X22" s="46">
        <f t="shared" si="10"/>
        <v>0</v>
      </c>
      <c r="Y22" s="31">
        <f t="shared" si="11"/>
        <v>0</v>
      </c>
      <c r="Z22" s="31">
        <f t="shared" si="11"/>
        <v>0</v>
      </c>
      <c r="AA22" s="31">
        <f t="shared" si="11"/>
        <v>0</v>
      </c>
      <c r="AB22" s="28">
        <f t="shared" si="8"/>
        <v>0</v>
      </c>
    </row>
    <row r="23" spans="1:28" ht="12.75">
      <c r="A23" s="24">
        <v>18</v>
      </c>
      <c r="B23" s="53"/>
      <c r="C23" s="26">
        <v>60310900</v>
      </c>
      <c r="D23" s="26" t="s">
        <v>58</v>
      </c>
      <c r="E23" s="60"/>
      <c r="F23" s="44"/>
      <c r="G23" s="44"/>
      <c r="H23" s="45">
        <f t="shared" si="0"/>
        <v>0</v>
      </c>
      <c r="I23" s="60"/>
      <c r="J23" s="44"/>
      <c r="K23" s="44"/>
      <c r="L23" s="45">
        <f t="shared" si="1"/>
        <v>0</v>
      </c>
      <c r="M23" s="44"/>
      <c r="N23" s="44"/>
      <c r="O23" s="44"/>
      <c r="P23" s="46">
        <f t="shared" si="2"/>
        <v>0</v>
      </c>
      <c r="Q23" s="44"/>
      <c r="R23" s="44"/>
      <c r="S23" s="44"/>
      <c r="T23" s="46">
        <f t="shared" si="9"/>
        <v>0</v>
      </c>
      <c r="U23" s="47"/>
      <c r="V23" s="47"/>
      <c r="W23" s="47"/>
      <c r="X23" s="46">
        <f t="shared" si="10"/>
        <v>0</v>
      </c>
      <c r="Y23" s="31">
        <f aca="true" t="shared" si="12" ref="Y23:AA24">E23+I23+M23+Q23+U23</f>
        <v>0</v>
      </c>
      <c r="Z23" s="31">
        <f t="shared" si="12"/>
        <v>0</v>
      </c>
      <c r="AA23" s="31">
        <f t="shared" si="12"/>
        <v>0</v>
      </c>
      <c r="AB23" s="28">
        <f>Y23+Z23+AA23</f>
        <v>0</v>
      </c>
    </row>
    <row r="24" spans="1:28" ht="22.5">
      <c r="A24" s="24">
        <v>19</v>
      </c>
      <c r="B24" s="53"/>
      <c r="C24" s="26">
        <v>60220300</v>
      </c>
      <c r="D24" s="86" t="s">
        <v>59</v>
      </c>
      <c r="E24" s="60"/>
      <c r="F24" s="44"/>
      <c r="G24" s="44"/>
      <c r="H24" s="45">
        <f t="shared" si="0"/>
        <v>0</v>
      </c>
      <c r="I24" s="60"/>
      <c r="J24" s="44"/>
      <c r="K24" s="44"/>
      <c r="L24" s="45">
        <f t="shared" si="1"/>
        <v>0</v>
      </c>
      <c r="M24" s="44"/>
      <c r="N24" s="44"/>
      <c r="O24" s="44"/>
      <c r="P24" s="46">
        <f t="shared" si="2"/>
        <v>0</v>
      </c>
      <c r="Q24" s="44"/>
      <c r="R24" s="44"/>
      <c r="S24" s="44"/>
      <c r="T24" s="46">
        <f t="shared" si="9"/>
        <v>0</v>
      </c>
      <c r="U24" s="47"/>
      <c r="V24" s="47"/>
      <c r="W24" s="47"/>
      <c r="X24" s="46">
        <f t="shared" si="10"/>
        <v>0</v>
      </c>
      <c r="Y24" s="31">
        <f t="shared" si="12"/>
        <v>0</v>
      </c>
      <c r="Z24" s="31">
        <f t="shared" si="12"/>
        <v>0</v>
      </c>
      <c r="AA24" s="31">
        <f t="shared" si="12"/>
        <v>0</v>
      </c>
      <c r="AB24" s="28">
        <f>Y24+Z24+AA24</f>
        <v>0</v>
      </c>
    </row>
    <row r="25" spans="1:28" ht="12.75">
      <c r="A25" s="29"/>
      <c r="B25" s="29"/>
      <c r="C25" s="38"/>
      <c r="D25" s="29" t="s">
        <v>5</v>
      </c>
      <c r="E25" s="30">
        <f>SUM(E6:E24)</f>
        <v>6</v>
      </c>
      <c r="F25" s="30">
        <f>SUM(F6:F24)</f>
        <v>0</v>
      </c>
      <c r="G25" s="30">
        <f>SUM(G6:G24)</f>
        <v>0</v>
      </c>
      <c r="H25" s="30">
        <f>SUM(H6:H24)</f>
        <v>6</v>
      </c>
      <c r="I25" s="30">
        <f>SUM(I6:I24)</f>
        <v>3</v>
      </c>
      <c r="J25" s="30">
        <f aca="true" t="shared" si="13" ref="J25:AB25">SUM(J6:J24)</f>
        <v>1</v>
      </c>
      <c r="K25" s="30">
        <f t="shared" si="13"/>
        <v>0</v>
      </c>
      <c r="L25" s="30">
        <f>SUM(L6:L24)</f>
        <v>4</v>
      </c>
      <c r="M25" s="30">
        <f t="shared" si="13"/>
        <v>0</v>
      </c>
      <c r="N25" s="30">
        <f t="shared" si="13"/>
        <v>0</v>
      </c>
      <c r="O25" s="30">
        <f t="shared" si="13"/>
        <v>0</v>
      </c>
      <c r="P25" s="30">
        <f>SUM(P6:P24)</f>
        <v>0</v>
      </c>
      <c r="Q25" s="30">
        <f t="shared" si="13"/>
        <v>4</v>
      </c>
      <c r="R25" s="30">
        <f t="shared" si="13"/>
        <v>0</v>
      </c>
      <c r="S25" s="30">
        <f t="shared" si="13"/>
        <v>0</v>
      </c>
      <c r="T25" s="30">
        <f>SUM(T6:T24)</f>
        <v>4</v>
      </c>
      <c r="U25" s="30">
        <f t="shared" si="13"/>
        <v>0</v>
      </c>
      <c r="V25" s="30">
        <f t="shared" si="13"/>
        <v>0</v>
      </c>
      <c r="W25" s="30">
        <f t="shared" si="13"/>
        <v>0</v>
      </c>
      <c r="X25" s="30">
        <f t="shared" si="13"/>
        <v>0</v>
      </c>
      <c r="Y25" s="30">
        <f t="shared" si="13"/>
        <v>13</v>
      </c>
      <c r="Z25" s="30">
        <f t="shared" si="13"/>
        <v>1</v>
      </c>
      <c r="AA25" s="30">
        <f t="shared" si="13"/>
        <v>0</v>
      </c>
      <c r="AB25" s="30">
        <f t="shared" si="13"/>
        <v>14</v>
      </c>
    </row>
    <row r="27" spans="4:9" ht="12.75">
      <c r="D27" s="34" t="s">
        <v>18</v>
      </c>
      <c r="E27" s="33">
        <f>AB6+AB7+AB8+AB9+AB12</f>
        <v>3</v>
      </c>
      <c r="I27" s="37"/>
    </row>
    <row r="28" spans="4:9" ht="22.5">
      <c r="D28" s="35" t="s">
        <v>19</v>
      </c>
      <c r="E28" s="33"/>
      <c r="I28" s="37"/>
    </row>
    <row r="29" spans="4:9" ht="12.75">
      <c r="D29" s="35" t="s">
        <v>20</v>
      </c>
      <c r="E29" s="33"/>
      <c r="I29" s="37"/>
    </row>
    <row r="30" spans="4:9" ht="12.75">
      <c r="D30" s="35" t="s">
        <v>21</v>
      </c>
      <c r="E30" s="33"/>
      <c r="I30" s="37"/>
    </row>
    <row r="31" spans="4:9" ht="22.5">
      <c r="D31" s="36" t="s">
        <v>22</v>
      </c>
      <c r="E31" s="33"/>
      <c r="I31" s="37"/>
    </row>
    <row r="32" spans="4:9" ht="22.5">
      <c r="D32" s="34" t="s">
        <v>23</v>
      </c>
      <c r="E32" s="33"/>
      <c r="I32" s="37"/>
    </row>
    <row r="34" spans="4:5" ht="12.75">
      <c r="D34" s="66" t="s">
        <v>54</v>
      </c>
      <c r="E34" s="67">
        <f>+AB10+AB11+AB17+AB18</f>
        <v>3</v>
      </c>
    </row>
    <row r="35" spans="4:5" ht="22.5">
      <c r="D35" s="68" t="s">
        <v>38</v>
      </c>
      <c r="E35" s="67">
        <f>+AB8+AB12+AB13+AB14+AB15</f>
        <v>4</v>
      </c>
    </row>
    <row r="36" spans="4:5" ht="12.75">
      <c r="D36" s="66" t="s">
        <v>33</v>
      </c>
      <c r="E36" s="67"/>
    </row>
    <row r="37" spans="4:5" ht="12.75">
      <c r="D37" s="69" t="s">
        <v>27</v>
      </c>
      <c r="E37" s="67"/>
    </row>
    <row r="38" spans="4:5" ht="12.75">
      <c r="D38" s="66" t="s">
        <v>34</v>
      </c>
      <c r="E38" s="67">
        <f>+AB19</f>
        <v>0</v>
      </c>
    </row>
    <row r="39" spans="4:5" ht="12.75">
      <c r="D39" s="66" t="s">
        <v>26</v>
      </c>
      <c r="E39" s="67">
        <f>+AB21</f>
        <v>5</v>
      </c>
    </row>
    <row r="40" spans="4:5" ht="12.75">
      <c r="D40" s="66" t="s">
        <v>35</v>
      </c>
      <c r="E40" s="67">
        <f>+AB22+AB7+AB9</f>
        <v>1</v>
      </c>
    </row>
    <row r="41" spans="4:5" ht="12.75">
      <c r="D41" s="66" t="s">
        <v>55</v>
      </c>
      <c r="E41" s="67">
        <f>+AB20</f>
        <v>1</v>
      </c>
    </row>
    <row r="42" spans="4:5" ht="12.75">
      <c r="D42" s="66" t="s">
        <v>36</v>
      </c>
      <c r="E42" s="67">
        <f>+AB6+AB16</f>
        <v>0</v>
      </c>
    </row>
    <row r="43" spans="4:5" ht="12.75">
      <c r="D43" s="70" t="s">
        <v>37</v>
      </c>
      <c r="E43" s="67"/>
    </row>
    <row r="44" spans="4:5" ht="13.5">
      <c r="D44" s="71" t="s">
        <v>56</v>
      </c>
      <c r="E44" s="67"/>
    </row>
  </sheetData>
  <sheetProtection/>
  <mergeCells count="5">
    <mergeCell ref="A1:AB1"/>
    <mergeCell ref="A2:AB2"/>
    <mergeCell ref="C3:C4"/>
    <mergeCell ref="D3:D4"/>
    <mergeCell ref="A5:AB5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115" zoomScaleSheetLayoutView="115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00390625" defaultRowHeight="12.75"/>
  <cols>
    <col min="1" max="1" width="3.00390625" style="0" customWidth="1"/>
    <col min="2" max="2" width="26.125" style="0" hidden="1" customWidth="1"/>
    <col min="3" max="3" width="7.875" style="39" bestFit="1" customWidth="1"/>
    <col min="4" max="4" width="23.25390625" style="0" customWidth="1"/>
    <col min="5" max="5" width="5.75390625" style="0" customWidth="1"/>
    <col min="6" max="6" width="3.375" style="0" customWidth="1"/>
    <col min="7" max="7" width="4.00390625" style="0" customWidth="1"/>
    <col min="8" max="8" width="5.625" style="0" customWidth="1"/>
    <col min="9" max="9" width="5.75390625" style="0" customWidth="1"/>
    <col min="10" max="10" width="3.375" style="0" customWidth="1"/>
    <col min="11" max="11" width="4.00390625" style="0" customWidth="1"/>
    <col min="12" max="12" width="5.625" style="0" customWidth="1"/>
    <col min="13" max="13" width="4.875" style="0" customWidth="1"/>
    <col min="14" max="15" width="3.875" style="0" customWidth="1"/>
    <col min="16" max="16" width="5.25390625" style="0" customWidth="1"/>
    <col min="17" max="17" width="3.875" style="0" customWidth="1"/>
    <col min="18" max="19" width="3.75390625" style="0" customWidth="1"/>
    <col min="20" max="20" width="5.625" style="0" customWidth="1"/>
    <col min="21" max="21" width="3.875" style="0" customWidth="1"/>
    <col min="22" max="23" width="3.75390625" style="0" customWidth="1"/>
    <col min="24" max="24" width="5.625" style="0" customWidth="1"/>
    <col min="25" max="25" width="5.75390625" style="0" customWidth="1"/>
    <col min="26" max="26" width="4.125" style="0" customWidth="1"/>
    <col min="27" max="27" width="4.25390625" style="0" customWidth="1"/>
    <col min="28" max="28" width="6.00390625" style="0" customWidth="1"/>
    <col min="29" max="29" width="18.75390625" style="0" bestFit="1" customWidth="1"/>
    <col min="30" max="30" width="9.125" style="3" customWidth="1"/>
  </cols>
  <sheetData>
    <row r="1" spans="1:28" ht="29.25" customHeight="1">
      <c r="A1" s="101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15.75">
      <c r="A2" s="102" t="str">
        <f>контингент!A2</f>
        <v>01.11.2023 йил холати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0" s="9" customFormat="1" ht="12.75">
      <c r="A3" s="18"/>
      <c r="B3" s="20"/>
      <c r="C3" s="97" t="s">
        <v>32</v>
      </c>
      <c r="D3" s="95" t="s">
        <v>0</v>
      </c>
      <c r="E3" s="18"/>
      <c r="F3" s="19" t="s">
        <v>25</v>
      </c>
      <c r="G3" s="20"/>
      <c r="H3" s="21"/>
      <c r="I3" s="18"/>
      <c r="J3" s="19" t="s">
        <v>9</v>
      </c>
      <c r="K3" s="20"/>
      <c r="L3" s="21"/>
      <c r="M3" s="18"/>
      <c r="N3" s="19" t="s">
        <v>10</v>
      </c>
      <c r="O3" s="20"/>
      <c r="P3" s="21"/>
      <c r="Q3" s="18"/>
      <c r="R3" s="19" t="s">
        <v>1</v>
      </c>
      <c r="S3" s="20"/>
      <c r="T3" s="21"/>
      <c r="U3" s="18"/>
      <c r="V3" s="19" t="s">
        <v>44</v>
      </c>
      <c r="W3" s="20"/>
      <c r="X3" s="21"/>
      <c r="Y3" s="18"/>
      <c r="Z3" s="19" t="s">
        <v>5</v>
      </c>
      <c r="AA3" s="20"/>
      <c r="AB3" s="22"/>
      <c r="AD3" s="11"/>
    </row>
    <row r="4" spans="1:30" s="9" customFormat="1" ht="12.75">
      <c r="A4" s="23"/>
      <c r="B4" s="52"/>
      <c r="C4" s="98"/>
      <c r="D4" s="96"/>
      <c r="E4" s="22" t="s">
        <v>2</v>
      </c>
      <c r="F4" s="22" t="s">
        <v>6</v>
      </c>
      <c r="G4" s="22" t="s">
        <v>4</v>
      </c>
      <c r="H4" s="22" t="s">
        <v>5</v>
      </c>
      <c r="I4" s="22" t="s">
        <v>2</v>
      </c>
      <c r="J4" s="22" t="s">
        <v>6</v>
      </c>
      <c r="K4" s="22" t="s">
        <v>4</v>
      </c>
      <c r="L4" s="22" t="s">
        <v>5</v>
      </c>
      <c r="M4" s="22" t="s">
        <v>8</v>
      </c>
      <c r="N4" s="22" t="s">
        <v>6</v>
      </c>
      <c r="O4" s="22" t="s">
        <v>7</v>
      </c>
      <c r="P4" s="22" t="s">
        <v>5</v>
      </c>
      <c r="Q4" s="22" t="s">
        <v>2</v>
      </c>
      <c r="R4" s="22" t="s">
        <v>6</v>
      </c>
      <c r="S4" s="22" t="s">
        <v>7</v>
      </c>
      <c r="T4" s="22" t="s">
        <v>5</v>
      </c>
      <c r="U4" s="22" t="s">
        <v>2</v>
      </c>
      <c r="V4" s="22" t="s">
        <v>6</v>
      </c>
      <c r="W4" s="22" t="s">
        <v>7</v>
      </c>
      <c r="X4" s="22" t="s">
        <v>5</v>
      </c>
      <c r="Y4" s="22" t="s">
        <v>2</v>
      </c>
      <c r="Z4" s="22" t="s">
        <v>3</v>
      </c>
      <c r="AA4" s="22" t="s">
        <v>4</v>
      </c>
      <c r="AB4" s="22" t="s">
        <v>5</v>
      </c>
      <c r="AD4" s="11"/>
    </row>
    <row r="5" spans="1:28" ht="12.75">
      <c r="A5" s="93" t="s">
        <v>29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12.75">
      <c r="A6" s="24">
        <v>1</v>
      </c>
      <c r="B6" s="54" t="s">
        <v>36</v>
      </c>
      <c r="C6" s="41">
        <v>60540100</v>
      </c>
      <c r="D6" s="63" t="s">
        <v>13</v>
      </c>
      <c r="E6" s="25">
        <f>+контингент!E6-Byudjet!E6</f>
        <v>25</v>
      </c>
      <c r="F6" s="25">
        <f>+контингент!F6-Byudjet!F6</f>
        <v>0</v>
      </c>
      <c r="G6" s="25">
        <f>+контингент!G6-Byudjet!G6</f>
        <v>0</v>
      </c>
      <c r="H6" s="27">
        <f aca="true" t="shared" si="0" ref="H6:H16">E6+F6+G6</f>
        <v>25</v>
      </c>
      <c r="I6" s="25">
        <f>+контингент!J6-Byudjet!I6</f>
        <v>24</v>
      </c>
      <c r="J6" s="25">
        <f>+контингент!K6-Byudjet!J6</f>
        <v>0</v>
      </c>
      <c r="K6" s="25">
        <f>+контингент!L6-Byudjet!K6</f>
        <v>0</v>
      </c>
      <c r="L6" s="27">
        <f aca="true" t="shared" si="1" ref="L6:L16">I6+J6+K6</f>
        <v>24</v>
      </c>
      <c r="M6" s="25">
        <f>+контингент!O6-Byudjet!M6</f>
        <v>0</v>
      </c>
      <c r="N6" s="25">
        <f>+контингент!P6-Byudjet!N6</f>
        <v>0</v>
      </c>
      <c r="O6" s="25">
        <f>+контингент!Q6-Byudjet!O6</f>
        <v>0</v>
      </c>
      <c r="P6" s="32">
        <f aca="true" t="shared" si="2" ref="P6:P16">M6+N6+O6</f>
        <v>0</v>
      </c>
      <c r="Q6" s="25">
        <f>+контингент!T6-Byudjet!Q6</f>
        <v>0</v>
      </c>
      <c r="R6" s="25">
        <f>+контингент!U6-Byudjet!R6</f>
        <v>0</v>
      </c>
      <c r="S6" s="25">
        <f>+контингент!V6-Byudjet!S6</f>
        <v>0</v>
      </c>
      <c r="T6" s="32">
        <f aca="true" t="shared" si="3" ref="T6:T16">S6+R6+Q6</f>
        <v>0</v>
      </c>
      <c r="U6" s="25">
        <f>+контингент!Y6-Byudjet!U6</f>
        <v>55</v>
      </c>
      <c r="V6" s="25">
        <f>+контингент!Z6-Byudjet!V6</f>
        <v>12</v>
      </c>
      <c r="W6" s="25">
        <f>+контингент!AA6-Byudjet!W6</f>
        <v>0</v>
      </c>
      <c r="X6" s="32">
        <f>W6+V6+U6</f>
        <v>67</v>
      </c>
      <c r="Y6" s="31">
        <f>E6+I6+M6+Q6+U6</f>
        <v>104</v>
      </c>
      <c r="Z6" s="31">
        <f aca="true" t="shared" si="4" ref="Z6:Z17">F6+J6+N6+R6+V6</f>
        <v>12</v>
      </c>
      <c r="AA6" s="31">
        <f aca="true" t="shared" si="5" ref="AA6:AA17">G6+K6+O6+S6+W6</f>
        <v>0</v>
      </c>
      <c r="AB6" s="28">
        <f>Y6+Z6+AA6</f>
        <v>116</v>
      </c>
    </row>
    <row r="7" spans="1:30" s="13" customFormat="1" ht="12.75">
      <c r="A7" s="24">
        <v>2</v>
      </c>
      <c r="B7" s="54" t="s">
        <v>35</v>
      </c>
      <c r="C7" s="41">
        <v>60530900</v>
      </c>
      <c r="D7" s="64" t="s">
        <v>50</v>
      </c>
      <c r="E7" s="25">
        <f>+контингент!E7-Byudjet!E7</f>
        <v>30</v>
      </c>
      <c r="F7" s="25">
        <f>+контингент!F7-Byudjet!F7</f>
        <v>0</v>
      </c>
      <c r="G7" s="25">
        <f>+контингент!G7-Byudjet!G7</f>
        <v>0</v>
      </c>
      <c r="H7" s="27">
        <f t="shared" si="0"/>
        <v>30</v>
      </c>
      <c r="I7" s="25">
        <f>+контингент!J7-Byudjet!I7</f>
        <v>14</v>
      </c>
      <c r="J7" s="25">
        <f>+контингент!K7-Byudjet!J7</f>
        <v>0</v>
      </c>
      <c r="K7" s="25">
        <f>+контингент!L7-Byudjet!K7</f>
        <v>0</v>
      </c>
      <c r="L7" s="27">
        <f t="shared" si="1"/>
        <v>14</v>
      </c>
      <c r="M7" s="25">
        <f>+контингент!O7-Byudjet!M7</f>
        <v>0</v>
      </c>
      <c r="N7" s="25">
        <f>+контингент!P7-Byudjet!N7</f>
        <v>0</v>
      </c>
      <c r="O7" s="25">
        <f>+контингент!Q7-Byudjet!O7</f>
        <v>0</v>
      </c>
      <c r="P7" s="32">
        <f t="shared" si="2"/>
        <v>0</v>
      </c>
      <c r="Q7" s="25">
        <f>+контингент!T7-Byudjet!Q7</f>
        <v>21</v>
      </c>
      <c r="R7" s="25">
        <f>+контингент!U7-Byudjet!R7</f>
        <v>0</v>
      </c>
      <c r="S7" s="25">
        <f>+контингент!V7-Byudjet!S7</f>
        <v>0</v>
      </c>
      <c r="T7" s="32">
        <f t="shared" si="3"/>
        <v>21</v>
      </c>
      <c r="U7" s="25">
        <f>+контингент!Y7-Byudjet!U7</f>
        <v>26</v>
      </c>
      <c r="V7" s="25">
        <f>+контингент!Z7-Byudjet!V7</f>
        <v>5</v>
      </c>
      <c r="W7" s="25">
        <f>+контингент!AA7-Byudjet!W7</f>
        <v>0</v>
      </c>
      <c r="X7" s="32">
        <f>W7+V7+U7</f>
        <v>31</v>
      </c>
      <c r="Y7" s="31">
        <f aca="true" t="shared" si="6" ref="Y7:Y17">E7+I7+M7+Q7+U7</f>
        <v>91</v>
      </c>
      <c r="Z7" s="31">
        <f t="shared" si="4"/>
        <v>5</v>
      </c>
      <c r="AA7" s="31">
        <f t="shared" si="5"/>
        <v>0</v>
      </c>
      <c r="AB7" s="28">
        <f>Y7+Z7+AA7</f>
        <v>96</v>
      </c>
      <c r="AD7" s="14"/>
    </row>
    <row r="8" spans="1:28" ht="22.5">
      <c r="A8" s="24">
        <v>3</v>
      </c>
      <c r="B8" s="54" t="s">
        <v>36</v>
      </c>
      <c r="C8" s="41">
        <v>60540200</v>
      </c>
      <c r="D8" s="65" t="s">
        <v>24</v>
      </c>
      <c r="E8" s="25">
        <f>+контингент!E8-Byudjet!E8</f>
        <v>0</v>
      </c>
      <c r="F8" s="25">
        <f>+контингент!F8-Byudjet!F8</f>
        <v>0</v>
      </c>
      <c r="G8" s="25">
        <f>+контингент!G8-Byudjet!G8</f>
        <v>0</v>
      </c>
      <c r="H8" s="27">
        <f t="shared" si="0"/>
        <v>0</v>
      </c>
      <c r="I8" s="25">
        <f>+контингент!J8-Byudjet!I8</f>
        <v>0</v>
      </c>
      <c r="J8" s="25">
        <f>+контингент!K8-Byudjet!J8</f>
        <v>0</v>
      </c>
      <c r="K8" s="25">
        <f>+контингент!L8-Byudjet!K8</f>
        <v>0</v>
      </c>
      <c r="L8" s="27">
        <f t="shared" si="1"/>
        <v>0</v>
      </c>
      <c r="M8" s="25">
        <f>+контингент!O8-Byudjet!M8</f>
        <v>0</v>
      </c>
      <c r="N8" s="25">
        <f>+контингент!P8-Byudjet!N8</f>
        <v>0</v>
      </c>
      <c r="O8" s="25">
        <f>+контингент!Q8-Byudjet!O8</f>
        <v>0</v>
      </c>
      <c r="P8" s="32">
        <f t="shared" si="2"/>
        <v>0</v>
      </c>
      <c r="Q8" s="25">
        <f>+контингент!T8-Byudjet!Q8</f>
        <v>0</v>
      </c>
      <c r="R8" s="25">
        <f>+контингент!U8-Byudjet!R8</f>
        <v>0</v>
      </c>
      <c r="S8" s="25">
        <f>+контингент!V8-Byudjet!S8</f>
        <v>0</v>
      </c>
      <c r="T8" s="32">
        <f t="shared" si="3"/>
        <v>0</v>
      </c>
      <c r="U8" s="25">
        <f>+контингент!Y8-Byudjet!U8</f>
        <v>75</v>
      </c>
      <c r="V8" s="25">
        <f>+контингент!Z8-Byudjet!V8</f>
        <v>8</v>
      </c>
      <c r="W8" s="25">
        <f>+контингент!AA8-Byudjet!W8</f>
        <v>0</v>
      </c>
      <c r="X8" s="32">
        <f>W8+V8+U8</f>
        <v>83</v>
      </c>
      <c r="Y8" s="31">
        <f t="shared" si="6"/>
        <v>75</v>
      </c>
      <c r="Z8" s="31">
        <f t="shared" si="4"/>
        <v>8</v>
      </c>
      <c r="AA8" s="31">
        <f t="shared" si="5"/>
        <v>0</v>
      </c>
      <c r="AB8" s="40">
        <f>Y8+Z8+AA8</f>
        <v>83</v>
      </c>
    </row>
    <row r="9" spans="1:28" ht="12.75">
      <c r="A9" s="24">
        <v>4</v>
      </c>
      <c r="B9" s="54" t="s">
        <v>35</v>
      </c>
      <c r="C9" s="50">
        <v>60530100</v>
      </c>
      <c r="D9" s="63" t="s">
        <v>12</v>
      </c>
      <c r="E9" s="25">
        <f>+контингент!E9-Byudjet!E9</f>
        <v>26</v>
      </c>
      <c r="F9" s="25">
        <f>+контингент!F9-Byudjet!F9</f>
        <v>0</v>
      </c>
      <c r="G9" s="25">
        <f>+контингент!G9-Byudjet!G9</f>
        <v>0</v>
      </c>
      <c r="H9" s="27">
        <f t="shared" si="0"/>
        <v>26</v>
      </c>
      <c r="I9" s="25">
        <f>+контингент!J9-Byudjet!I9</f>
        <v>22</v>
      </c>
      <c r="J9" s="25">
        <f>+контингент!K9-Byudjet!J9</f>
        <v>0</v>
      </c>
      <c r="K9" s="25">
        <f>+контингент!L9-Byudjet!K9</f>
        <v>0</v>
      </c>
      <c r="L9" s="27">
        <f t="shared" si="1"/>
        <v>22</v>
      </c>
      <c r="M9" s="25">
        <f>+контингент!O9-Byudjet!M9</f>
        <v>0</v>
      </c>
      <c r="N9" s="25">
        <f>+контингент!P9-Byudjet!N9</f>
        <v>0</v>
      </c>
      <c r="O9" s="25">
        <f>+контингент!Q9-Byudjet!O9</f>
        <v>0</v>
      </c>
      <c r="P9" s="32">
        <f t="shared" si="2"/>
        <v>0</v>
      </c>
      <c r="Q9" s="25">
        <f>+контингент!T9-Byudjet!Q9</f>
        <v>0</v>
      </c>
      <c r="R9" s="25">
        <f>+контингент!U9-Byudjet!R9</f>
        <v>0</v>
      </c>
      <c r="S9" s="25">
        <f>+контингент!V9-Byudjet!S9</f>
        <v>0</v>
      </c>
      <c r="T9" s="32">
        <f t="shared" si="3"/>
        <v>0</v>
      </c>
      <c r="U9" s="25">
        <f>+контингент!Y9-Byudjet!U9</f>
        <v>65</v>
      </c>
      <c r="V9" s="25">
        <f>+контингент!Z9-Byudjet!V9</f>
        <v>4</v>
      </c>
      <c r="W9" s="25">
        <f>+контингент!AA9-Byudjet!W9</f>
        <v>0</v>
      </c>
      <c r="X9" s="32">
        <f>W9+V9+U9</f>
        <v>69</v>
      </c>
      <c r="Y9" s="31">
        <f t="shared" si="6"/>
        <v>113</v>
      </c>
      <c r="Z9" s="31">
        <f t="shared" si="4"/>
        <v>4</v>
      </c>
      <c r="AA9" s="31">
        <f t="shared" si="5"/>
        <v>0</v>
      </c>
      <c r="AB9" s="28">
        <f aca="true" t="shared" si="7" ref="AB9:AB16">Y9+Z9</f>
        <v>117</v>
      </c>
    </row>
    <row r="10" spans="1:28" ht="22.5">
      <c r="A10" s="24">
        <v>5</v>
      </c>
      <c r="B10" s="53" t="s">
        <v>18</v>
      </c>
      <c r="C10" s="50">
        <v>60230100</v>
      </c>
      <c r="D10" s="64" t="s">
        <v>51</v>
      </c>
      <c r="E10" s="25">
        <f>+контингент!E10-Byudjet!E10</f>
        <v>0</v>
      </c>
      <c r="F10" s="25">
        <f>+контингент!F10-Byudjet!F10</f>
        <v>0</v>
      </c>
      <c r="G10" s="25">
        <f>+контингент!G10-Byudjet!G10</f>
        <v>0</v>
      </c>
      <c r="H10" s="25">
        <f>+контингент!I10-Byudjet!H10</f>
        <v>0</v>
      </c>
      <c r="I10" s="25">
        <f>+контингент!J10-Byudjet!I10</f>
        <v>0</v>
      </c>
      <c r="J10" s="25">
        <f>+контингент!K10-Byudjet!J10</f>
        <v>28</v>
      </c>
      <c r="K10" s="25">
        <f>+контингент!L10-Byudjet!K10</f>
        <v>0</v>
      </c>
      <c r="L10" s="25">
        <f>+контингент!N10-Byudjet!L10</f>
        <v>28</v>
      </c>
      <c r="M10" s="25">
        <f>+контингент!O10-Byudjet!M10</f>
        <v>0</v>
      </c>
      <c r="N10" s="25">
        <f>+контингент!P10-Byudjet!N10</f>
        <v>0</v>
      </c>
      <c r="O10" s="25">
        <f>+контингент!Q10-Byudjet!O10</f>
        <v>0</v>
      </c>
      <c r="P10" s="25">
        <f>+контингент!S10-Byudjet!P10</f>
        <v>0</v>
      </c>
      <c r="Q10" s="25">
        <f>+контингент!T10-Byudjet!Q10</f>
        <v>0</v>
      </c>
      <c r="R10" s="25">
        <f>+контингент!U10-Byudjet!R10</f>
        <v>0</v>
      </c>
      <c r="S10" s="25">
        <f>+контингент!V10-Byudjet!S10</f>
        <v>0</v>
      </c>
      <c r="T10" s="25">
        <f>+контингент!X10-Byudjet!T10</f>
        <v>0</v>
      </c>
      <c r="U10" s="25">
        <f>+контингент!Y10-Byudjet!U10</f>
        <v>0</v>
      </c>
      <c r="V10" s="25">
        <f>+контингент!Z10-Byudjet!V10</f>
        <v>46</v>
      </c>
      <c r="W10" s="25">
        <f>+контингент!AA10-Byudjet!W10</f>
        <v>0</v>
      </c>
      <c r="X10" s="25">
        <f>+контингент!AC10-Byudjet!X10</f>
        <v>46</v>
      </c>
      <c r="Y10" s="31">
        <f t="shared" si="6"/>
        <v>0</v>
      </c>
      <c r="Z10" s="31">
        <f t="shared" si="4"/>
        <v>74</v>
      </c>
      <c r="AA10" s="31">
        <f t="shared" si="5"/>
        <v>0</v>
      </c>
      <c r="AB10" s="91">
        <f>+контингент!AH10-Byudjet!AB10</f>
        <v>74</v>
      </c>
    </row>
    <row r="11" spans="1:28" ht="33.75">
      <c r="A11" s="24">
        <v>6</v>
      </c>
      <c r="B11" s="53" t="s">
        <v>18</v>
      </c>
      <c r="C11" s="50">
        <v>60111500</v>
      </c>
      <c r="D11" s="64" t="s">
        <v>52</v>
      </c>
      <c r="E11" s="25">
        <f>+контингент!E11-Byudjet!E11</f>
        <v>0</v>
      </c>
      <c r="F11" s="25">
        <f>+контингент!F11-Byudjet!F11</f>
        <v>0</v>
      </c>
      <c r="G11" s="25">
        <f>+контингент!G11-Byudjet!G11</f>
        <v>0</v>
      </c>
      <c r="H11" s="25">
        <f>+контингент!I11-Byudjet!H11</f>
        <v>0</v>
      </c>
      <c r="I11" s="25">
        <f>+контингент!J11-Byudjet!I11</f>
        <v>0</v>
      </c>
      <c r="J11" s="25">
        <f>+контингент!K11-Byudjet!J11</f>
        <v>0</v>
      </c>
      <c r="K11" s="25">
        <f>+контингент!L11-Byudjet!K11</f>
        <v>0</v>
      </c>
      <c r="L11" s="25">
        <f>+контингент!N11-Byudjet!L11</f>
        <v>0</v>
      </c>
      <c r="M11" s="25">
        <f>+контингент!O11-Byudjet!M11</f>
        <v>0</v>
      </c>
      <c r="N11" s="25">
        <f>+контингент!P11-Byudjet!N11</f>
        <v>0</v>
      </c>
      <c r="O11" s="25">
        <f>+контингент!Q11-Byudjet!O11</f>
        <v>0</v>
      </c>
      <c r="P11" s="25">
        <f>+контингент!S11-Byudjet!P11</f>
        <v>0</v>
      </c>
      <c r="Q11" s="25">
        <f>+контингент!T11-Byudjet!Q11</f>
        <v>0</v>
      </c>
      <c r="R11" s="25">
        <f>+контингент!U11-Byudjet!R11</f>
        <v>0</v>
      </c>
      <c r="S11" s="25">
        <f>+контингент!V11-Byudjet!S11</f>
        <v>0</v>
      </c>
      <c r="T11" s="25">
        <f>+контингент!X11-Byudjet!T11</f>
        <v>0</v>
      </c>
      <c r="U11" s="25">
        <f>+контингент!Y11-Byudjet!U11</f>
        <v>0</v>
      </c>
      <c r="V11" s="25">
        <f>+контингент!Z11-Byudjet!V11</f>
        <v>39</v>
      </c>
      <c r="W11" s="25">
        <f>+контингент!AA11-Byudjet!W11</f>
        <v>0</v>
      </c>
      <c r="X11" s="25">
        <f>+контингент!AC11-Byudjet!X11</f>
        <v>39</v>
      </c>
      <c r="Y11" s="31">
        <f t="shared" si="6"/>
        <v>0</v>
      </c>
      <c r="Z11" s="31">
        <f t="shared" si="4"/>
        <v>39</v>
      </c>
      <c r="AA11" s="31">
        <f t="shared" si="5"/>
        <v>0</v>
      </c>
      <c r="AB11" s="91">
        <f>+контингент!AH11-Byudjet!AB11</f>
        <v>39</v>
      </c>
    </row>
    <row r="12" spans="1:28" ht="12.75">
      <c r="A12" s="24">
        <v>7</v>
      </c>
      <c r="B12" s="83" t="s">
        <v>43</v>
      </c>
      <c r="C12" s="41">
        <v>60110200</v>
      </c>
      <c r="D12" s="63" t="s">
        <v>31</v>
      </c>
      <c r="E12" s="25">
        <f>+контингент!E12-Byudjet!E12</f>
        <v>0</v>
      </c>
      <c r="F12" s="25">
        <f>+контингент!F12-Byudjet!F12</f>
        <v>0</v>
      </c>
      <c r="G12" s="25">
        <f>+контингент!G12-Byudjet!G12</f>
        <v>0</v>
      </c>
      <c r="H12" s="27">
        <f t="shared" si="0"/>
        <v>0</v>
      </c>
      <c r="I12" s="25">
        <f>+контингент!J12-Byudjet!I12</f>
        <v>0</v>
      </c>
      <c r="J12" s="25">
        <f>+контингент!K12-Byudjet!J12</f>
        <v>0</v>
      </c>
      <c r="K12" s="25">
        <f>+контингент!L12-Byudjet!K12</f>
        <v>0</v>
      </c>
      <c r="L12" s="27">
        <f t="shared" si="1"/>
        <v>0</v>
      </c>
      <c r="M12" s="25">
        <f>+контингент!O12-Byudjet!M12</f>
        <v>0</v>
      </c>
      <c r="N12" s="25">
        <f>+контингент!P12-Byudjet!N12</f>
        <v>0</v>
      </c>
      <c r="O12" s="25">
        <f>+контингент!Q12-Byudjet!O12</f>
        <v>0</v>
      </c>
      <c r="P12" s="32">
        <f t="shared" si="2"/>
        <v>0</v>
      </c>
      <c r="Q12" s="25">
        <f>+контингент!T12-Byudjet!Q12</f>
        <v>95</v>
      </c>
      <c r="R12" s="25">
        <f>+контингент!U12-Byudjet!R12</f>
        <v>0</v>
      </c>
      <c r="S12" s="25">
        <f>+контингент!V12-Byudjet!S12</f>
        <v>0</v>
      </c>
      <c r="T12" s="32">
        <f t="shared" si="3"/>
        <v>95</v>
      </c>
      <c r="U12" s="25">
        <f>+контингент!Y12-Byudjet!U12</f>
        <v>0</v>
      </c>
      <c r="V12" s="25">
        <f>+контингент!Z12-Byudjet!V12</f>
        <v>0</v>
      </c>
      <c r="W12" s="25">
        <f>+контингент!AA12-Byudjet!W12</f>
        <v>0</v>
      </c>
      <c r="X12" s="32">
        <f aca="true" t="shared" si="8" ref="X12:X17">W12+V12+U12</f>
        <v>0</v>
      </c>
      <c r="Y12" s="31">
        <f t="shared" si="6"/>
        <v>95</v>
      </c>
      <c r="Z12" s="31">
        <f t="shared" si="4"/>
        <v>0</v>
      </c>
      <c r="AA12" s="31">
        <f t="shared" si="5"/>
        <v>0</v>
      </c>
      <c r="AB12" s="89">
        <f t="shared" si="7"/>
        <v>95</v>
      </c>
    </row>
    <row r="13" spans="1:28" ht="12.75">
      <c r="A13" s="24">
        <v>8</v>
      </c>
      <c r="B13" s="83" t="s">
        <v>43</v>
      </c>
      <c r="C13" s="85">
        <v>60110600</v>
      </c>
      <c r="D13" s="64" t="s">
        <v>39</v>
      </c>
      <c r="E13" s="25">
        <f>+контингент!E13-Byudjet!E13</f>
        <v>0</v>
      </c>
      <c r="F13" s="25">
        <f>+контингент!F13-Byudjet!F13</f>
        <v>0</v>
      </c>
      <c r="G13" s="25">
        <f>+контингент!G13-Byudjet!G13</f>
        <v>0</v>
      </c>
      <c r="H13" s="27">
        <f t="shared" si="0"/>
        <v>0</v>
      </c>
      <c r="I13" s="25">
        <f>+контингент!J13-Byudjet!I13</f>
        <v>0</v>
      </c>
      <c r="J13" s="25">
        <f>+контингент!K13-Byudjet!J13</f>
        <v>0</v>
      </c>
      <c r="K13" s="25">
        <f>+контингент!L13-Byudjet!K13</f>
        <v>0</v>
      </c>
      <c r="L13" s="27">
        <f t="shared" si="1"/>
        <v>0</v>
      </c>
      <c r="M13" s="25">
        <f>+контингент!O13-Byudjet!M13</f>
        <v>0</v>
      </c>
      <c r="N13" s="25">
        <f>+контингент!P13-Byudjet!N13</f>
        <v>0</v>
      </c>
      <c r="O13" s="25">
        <f>+контингент!Q13-Byudjet!O13</f>
        <v>0</v>
      </c>
      <c r="P13" s="32">
        <f t="shared" si="2"/>
        <v>0</v>
      </c>
      <c r="Q13" s="25">
        <f>+контингент!T13-Byudjet!Q13</f>
        <v>151</v>
      </c>
      <c r="R13" s="25">
        <f>+контингент!U13-Byudjet!R13</f>
        <v>0</v>
      </c>
      <c r="S13" s="25">
        <f>+контингент!V13-Byudjet!S13</f>
        <v>0</v>
      </c>
      <c r="T13" s="32">
        <f t="shared" si="3"/>
        <v>151</v>
      </c>
      <c r="U13" s="25">
        <f>+контингент!Y13-Byudjet!U13</f>
        <v>0</v>
      </c>
      <c r="V13" s="25">
        <f>+контингент!Z13-Byudjet!V13</f>
        <v>0</v>
      </c>
      <c r="W13" s="25">
        <f>+контингент!AA13-Byudjet!W13</f>
        <v>0</v>
      </c>
      <c r="X13" s="32">
        <f t="shared" si="8"/>
        <v>0</v>
      </c>
      <c r="Y13" s="31">
        <f t="shared" si="6"/>
        <v>151</v>
      </c>
      <c r="Z13" s="31">
        <f t="shared" si="4"/>
        <v>0</v>
      </c>
      <c r="AA13" s="31">
        <f t="shared" si="5"/>
        <v>0</v>
      </c>
      <c r="AB13" s="89">
        <f t="shared" si="7"/>
        <v>151</v>
      </c>
    </row>
    <row r="14" spans="1:28" ht="12.75">
      <c r="A14" s="24">
        <v>9</v>
      </c>
      <c r="B14" s="83" t="s">
        <v>43</v>
      </c>
      <c r="C14" s="85">
        <v>60110700</v>
      </c>
      <c r="D14" s="64" t="s">
        <v>40</v>
      </c>
      <c r="E14" s="25">
        <f>+контингент!E14-Byudjet!E14</f>
        <v>0</v>
      </c>
      <c r="F14" s="25">
        <f>+контингент!F14-Byudjet!F14</f>
        <v>0</v>
      </c>
      <c r="G14" s="25">
        <f>+контингент!G14-Byudjet!G14</f>
        <v>0</v>
      </c>
      <c r="H14" s="27">
        <f t="shared" si="0"/>
        <v>0</v>
      </c>
      <c r="I14" s="25">
        <f>+контингент!J14-Byudjet!I14</f>
        <v>0</v>
      </c>
      <c r="J14" s="25">
        <f>+контингент!K14-Byudjet!J14</f>
        <v>0</v>
      </c>
      <c r="K14" s="25">
        <f>+контингент!L14-Byudjet!K14</f>
        <v>0</v>
      </c>
      <c r="L14" s="27">
        <f t="shared" si="1"/>
        <v>0</v>
      </c>
      <c r="M14" s="25">
        <f>+контингент!O14-Byudjet!M14</f>
        <v>0</v>
      </c>
      <c r="N14" s="25">
        <f>+контингент!P14-Byudjet!N14</f>
        <v>0</v>
      </c>
      <c r="O14" s="25">
        <f>+контингент!Q14-Byudjet!O14</f>
        <v>0</v>
      </c>
      <c r="P14" s="32">
        <f t="shared" si="2"/>
        <v>0</v>
      </c>
      <c r="Q14" s="25">
        <f>+контингент!T14-Byudjet!Q14</f>
        <v>103</v>
      </c>
      <c r="R14" s="25">
        <f>+контингент!U14-Byudjet!R14</f>
        <v>0</v>
      </c>
      <c r="S14" s="25">
        <f>+контингент!V14-Byudjet!S14</f>
        <v>0</v>
      </c>
      <c r="T14" s="32">
        <f t="shared" si="3"/>
        <v>103</v>
      </c>
      <c r="U14" s="25">
        <f>+контингент!Y14-Byudjet!U14</f>
        <v>0</v>
      </c>
      <c r="V14" s="25">
        <f>+контингент!Z14-Byudjet!V14</f>
        <v>0</v>
      </c>
      <c r="W14" s="25">
        <f>+контингент!AA14-Byudjet!W14</f>
        <v>0</v>
      </c>
      <c r="X14" s="32">
        <f t="shared" si="8"/>
        <v>0</v>
      </c>
      <c r="Y14" s="31">
        <f t="shared" si="6"/>
        <v>103</v>
      </c>
      <c r="Z14" s="31">
        <f t="shared" si="4"/>
        <v>0</v>
      </c>
      <c r="AA14" s="31">
        <f t="shared" si="5"/>
        <v>0</v>
      </c>
      <c r="AB14" s="89">
        <f t="shared" si="7"/>
        <v>103</v>
      </c>
    </row>
    <row r="15" spans="1:28" ht="12.75">
      <c r="A15" s="24">
        <v>10</v>
      </c>
      <c r="B15" s="83" t="s">
        <v>43</v>
      </c>
      <c r="C15" s="85">
        <v>60110800</v>
      </c>
      <c r="D15" s="64" t="s">
        <v>12</v>
      </c>
      <c r="E15" s="25">
        <f>+контингент!E15-Byudjet!E15</f>
        <v>0</v>
      </c>
      <c r="F15" s="25">
        <f>+контингент!F15-Byudjet!F15</f>
        <v>0</v>
      </c>
      <c r="G15" s="25">
        <f>+контингент!G15-Byudjet!G15</f>
        <v>0</v>
      </c>
      <c r="H15" s="27">
        <f t="shared" si="0"/>
        <v>0</v>
      </c>
      <c r="I15" s="25">
        <f>+контингент!J15-Byudjet!I15</f>
        <v>0</v>
      </c>
      <c r="J15" s="25">
        <f>+контингент!K15-Byudjet!J15</f>
        <v>0</v>
      </c>
      <c r="K15" s="25">
        <f>+контингент!L15-Byudjet!K15</f>
        <v>0</v>
      </c>
      <c r="L15" s="27">
        <f t="shared" si="1"/>
        <v>0</v>
      </c>
      <c r="M15" s="25">
        <f>+контингент!O15-Byudjet!M15</f>
        <v>0</v>
      </c>
      <c r="N15" s="25">
        <f>+контингент!P15-Byudjet!N15</f>
        <v>0</v>
      </c>
      <c r="O15" s="25">
        <f>+контингент!Q15-Byudjet!O15</f>
        <v>0</v>
      </c>
      <c r="P15" s="32">
        <f t="shared" si="2"/>
        <v>0</v>
      </c>
      <c r="Q15" s="25">
        <f>+контингент!T15-Byudjet!Q15</f>
        <v>91</v>
      </c>
      <c r="R15" s="25">
        <f>+контингент!U15-Byudjet!R15</f>
        <v>0</v>
      </c>
      <c r="S15" s="25">
        <f>+контингент!V15-Byudjet!S15</f>
        <v>0</v>
      </c>
      <c r="T15" s="32">
        <f t="shared" si="3"/>
        <v>91</v>
      </c>
      <c r="U15" s="25">
        <f>+контингент!Y15-Byudjet!U15</f>
        <v>0</v>
      </c>
      <c r="V15" s="25">
        <f>+контингент!Z15-Byudjet!V15</f>
        <v>0</v>
      </c>
      <c r="W15" s="25">
        <f>+контингент!AA15-Byudjet!W15</f>
        <v>0</v>
      </c>
      <c r="X15" s="32">
        <f t="shared" si="8"/>
        <v>0</v>
      </c>
      <c r="Y15" s="31">
        <f t="shared" si="6"/>
        <v>91</v>
      </c>
      <c r="Z15" s="31">
        <f t="shared" si="4"/>
        <v>0</v>
      </c>
      <c r="AA15" s="31">
        <f t="shared" si="5"/>
        <v>0</v>
      </c>
      <c r="AB15" s="89">
        <f t="shared" si="7"/>
        <v>91</v>
      </c>
    </row>
    <row r="16" spans="1:28" ht="12.75">
      <c r="A16" s="24">
        <v>11</v>
      </c>
      <c r="B16" s="54" t="s">
        <v>36</v>
      </c>
      <c r="C16" s="85">
        <v>60540200</v>
      </c>
      <c r="D16" s="64" t="s">
        <v>11</v>
      </c>
      <c r="E16" s="25">
        <f>+контингент!E16-Byudjet!E16</f>
        <v>24</v>
      </c>
      <c r="F16" s="25">
        <f>+контингент!F16-Byudjet!F16</f>
        <v>0</v>
      </c>
      <c r="G16" s="25">
        <f>+контингент!G16-Byudjet!G16</f>
        <v>0</v>
      </c>
      <c r="H16" s="27">
        <f t="shared" si="0"/>
        <v>24</v>
      </c>
      <c r="I16" s="25">
        <f>+контингент!J16-Byudjet!I16</f>
        <v>37</v>
      </c>
      <c r="J16" s="25">
        <f>+контингент!K16-Byudjet!J16</f>
        <v>0</v>
      </c>
      <c r="K16" s="25">
        <f>+контингент!L16-Byudjet!K16</f>
        <v>0</v>
      </c>
      <c r="L16" s="27">
        <f t="shared" si="1"/>
        <v>37</v>
      </c>
      <c r="M16" s="25">
        <f>+контингент!O16-Byudjet!M16</f>
        <v>63</v>
      </c>
      <c r="N16" s="25">
        <f>+контингент!P16-Byudjet!N16</f>
        <v>0</v>
      </c>
      <c r="O16" s="25">
        <f>+контингент!Q16-Byudjet!O16</f>
        <v>0</v>
      </c>
      <c r="P16" s="32">
        <f t="shared" si="2"/>
        <v>63</v>
      </c>
      <c r="Q16" s="25">
        <f>+контингент!T16-Byudjet!Q16</f>
        <v>96</v>
      </c>
      <c r="R16" s="25">
        <f>+контингент!U16-Byudjet!R16</f>
        <v>0</v>
      </c>
      <c r="S16" s="25">
        <f>+контингент!V16-Byudjet!S16</f>
        <v>0</v>
      </c>
      <c r="T16" s="32">
        <f t="shared" si="3"/>
        <v>96</v>
      </c>
      <c r="U16" s="25">
        <f>+контингент!Y16-Byudjet!U16</f>
        <v>0</v>
      </c>
      <c r="V16" s="25">
        <f>+контингент!Z16-Byudjet!V16</f>
        <v>0</v>
      </c>
      <c r="W16" s="25">
        <f>+контингент!AA16-Byudjet!W16</f>
        <v>0</v>
      </c>
      <c r="X16" s="32">
        <f t="shared" si="8"/>
        <v>0</v>
      </c>
      <c r="Y16" s="31">
        <f t="shared" si="6"/>
        <v>220</v>
      </c>
      <c r="Z16" s="31">
        <f t="shared" si="4"/>
        <v>0</v>
      </c>
      <c r="AA16" s="31">
        <f t="shared" si="5"/>
        <v>0</v>
      </c>
      <c r="AB16" s="89">
        <f t="shared" si="7"/>
        <v>220</v>
      </c>
    </row>
    <row r="17" spans="1:28" ht="22.5">
      <c r="A17" s="24">
        <v>12</v>
      </c>
      <c r="B17" s="53" t="s">
        <v>18</v>
      </c>
      <c r="C17" s="50">
        <v>60230100</v>
      </c>
      <c r="D17" s="64" t="s">
        <v>53</v>
      </c>
      <c r="E17" s="25">
        <f>+контингент!E17-Byudjet!E17</f>
        <v>33</v>
      </c>
      <c r="F17" s="25">
        <f>+контингент!F17-Byudjet!F17</f>
        <v>0</v>
      </c>
      <c r="G17" s="25">
        <f>+контингент!G17-Byudjet!G17</f>
        <v>0</v>
      </c>
      <c r="H17" s="27">
        <f>E17+F17+G17</f>
        <v>33</v>
      </c>
      <c r="I17" s="25">
        <f>+контингент!J17-Byudjet!I17</f>
        <v>24</v>
      </c>
      <c r="J17" s="25">
        <f>+контингент!K17-Byudjet!J17</f>
        <v>0</v>
      </c>
      <c r="K17" s="25">
        <f>+контингент!L17-Byudjet!K17</f>
        <v>0</v>
      </c>
      <c r="L17" s="27">
        <f>I17+J17+K17</f>
        <v>24</v>
      </c>
      <c r="M17" s="25">
        <f>+контингент!O17-Byudjet!M17</f>
        <v>0</v>
      </c>
      <c r="N17" s="25">
        <f>+контингент!P17-Byudjet!N17</f>
        <v>0</v>
      </c>
      <c r="O17" s="25">
        <f>+контингент!Q17-Byudjet!O17</f>
        <v>0</v>
      </c>
      <c r="P17" s="32">
        <f>M17+N17+O17</f>
        <v>0</v>
      </c>
      <c r="Q17" s="25">
        <f>+контингент!T17-Byudjet!Q17</f>
        <v>52</v>
      </c>
      <c r="R17" s="25">
        <f>+контингент!U17-Byudjet!R17</f>
        <v>0</v>
      </c>
      <c r="S17" s="25">
        <f>+контингент!V17-Byudjet!S17</f>
        <v>0</v>
      </c>
      <c r="T17" s="32">
        <f>S17+R17+Q17</f>
        <v>52</v>
      </c>
      <c r="U17" s="25">
        <f>+контингент!Y17-Byudjet!U17</f>
        <v>0</v>
      </c>
      <c r="V17" s="25">
        <f>+контингент!Z17-Byudjet!V17</f>
        <v>0</v>
      </c>
      <c r="W17" s="25">
        <f>+контингент!AA17-Byudjet!W17</f>
        <v>0</v>
      </c>
      <c r="X17" s="32">
        <f t="shared" si="8"/>
        <v>0</v>
      </c>
      <c r="Y17" s="31">
        <f t="shared" si="6"/>
        <v>109</v>
      </c>
      <c r="Z17" s="31">
        <f t="shared" si="4"/>
        <v>0</v>
      </c>
      <c r="AA17" s="31">
        <f t="shared" si="5"/>
        <v>0</v>
      </c>
      <c r="AB17" s="89">
        <f>Y17+Z17</f>
        <v>109</v>
      </c>
    </row>
    <row r="18" spans="1:28" ht="22.5">
      <c r="A18" s="24">
        <v>13</v>
      </c>
      <c r="B18" s="53"/>
      <c r="C18" s="50">
        <v>60230100</v>
      </c>
      <c r="D18" s="65" t="s">
        <v>45</v>
      </c>
      <c r="E18" s="25">
        <f>+контингент!E18-Byudjet!E18</f>
        <v>21</v>
      </c>
      <c r="F18" s="25">
        <f>+контингент!F18-Byudjet!F18</f>
        <v>0</v>
      </c>
      <c r="G18" s="25">
        <f>+контингент!G18-Byudjet!G18</f>
        <v>0</v>
      </c>
      <c r="H18" s="25">
        <f>+контингент!I18-Byudjet!H18</f>
        <v>21</v>
      </c>
      <c r="I18" s="25">
        <f>+контингент!J18-Byudjet!I18</f>
        <v>0</v>
      </c>
      <c r="J18" s="25">
        <f>+контингент!K18-Byudjet!J18</f>
        <v>0</v>
      </c>
      <c r="K18" s="25">
        <f>+контингент!L18-Byudjet!K18</f>
        <v>20</v>
      </c>
      <c r="L18" s="25">
        <f>+контингент!N18-Byudjet!L18</f>
        <v>20</v>
      </c>
      <c r="M18" s="25">
        <f>+контингент!O18-Byudjet!M18</f>
        <v>0</v>
      </c>
      <c r="N18" s="25">
        <f>+контингент!P18-Byudjet!N18</f>
        <v>0</v>
      </c>
      <c r="O18" s="25">
        <f>+контингент!Q18-Byudjet!O18</f>
        <v>0</v>
      </c>
      <c r="P18" s="25">
        <f>+контингент!S18-Byudjet!P18</f>
        <v>0</v>
      </c>
      <c r="Q18" s="25">
        <f>+контингент!T18-Byudjet!Q18</f>
        <v>0</v>
      </c>
      <c r="R18" s="25">
        <f>+контингент!U18-Byudjet!R18</f>
        <v>0</v>
      </c>
      <c r="S18" s="25">
        <f>+контингент!V18-Byudjet!S18</f>
        <v>0</v>
      </c>
      <c r="T18" s="25">
        <f>+контингент!X18-Byudjet!T18</f>
        <v>0</v>
      </c>
      <c r="U18" s="25">
        <f>+контингент!Y18-Byudjet!U18</f>
        <v>0</v>
      </c>
      <c r="V18" s="25">
        <f>+контингент!Z18-Byudjet!V18</f>
        <v>0</v>
      </c>
      <c r="W18" s="25">
        <f>+контингент!AA18-Byudjet!W18</f>
        <v>0</v>
      </c>
      <c r="X18" s="25">
        <f>+контингент!AC18-Byudjet!X18</f>
        <v>0</v>
      </c>
      <c r="Y18" s="25">
        <f>+контингент!AD18-Byudjet!Y18</f>
        <v>21</v>
      </c>
      <c r="Z18" s="25">
        <f>+контингент!AE18-Byudjet!Z18</f>
        <v>0</v>
      </c>
      <c r="AA18" s="25">
        <f>+контингент!AF18-Byudjet!AA18</f>
        <v>20</v>
      </c>
      <c r="AB18" s="90">
        <f>+AA18+Z18+Y18</f>
        <v>41</v>
      </c>
    </row>
    <row r="19" spans="1:28" ht="22.5">
      <c r="A19" s="24">
        <v>14</v>
      </c>
      <c r="B19" s="53"/>
      <c r="C19" s="50">
        <v>60412400</v>
      </c>
      <c r="D19" s="65" t="s">
        <v>46</v>
      </c>
      <c r="E19" s="25">
        <f>+контингент!E19-Byudjet!E19</f>
        <v>0</v>
      </c>
      <c r="F19" s="25">
        <f>+контингент!F19-Byudjet!F19</f>
        <v>0</v>
      </c>
      <c r="G19" s="25">
        <f>+контингент!G19-Byudjet!G19</f>
        <v>0</v>
      </c>
      <c r="H19" s="25">
        <f>+контингент!I19-Byudjet!H19</f>
        <v>0</v>
      </c>
      <c r="I19" s="25">
        <f>+контингент!J19-Byudjet!I19</f>
        <v>13</v>
      </c>
      <c r="J19" s="25">
        <f>+контингент!K19-Byudjet!J19</f>
        <v>0</v>
      </c>
      <c r="K19" s="25">
        <f>+контингент!L19-Byudjet!K19</f>
        <v>0</v>
      </c>
      <c r="L19" s="25">
        <f>+контингент!N19-Byudjet!L19</f>
        <v>13</v>
      </c>
      <c r="M19" s="25">
        <f>+контингент!O19-Byudjet!M19</f>
        <v>0</v>
      </c>
      <c r="N19" s="25">
        <f>+контингент!P19-Byudjet!N19</f>
        <v>0</v>
      </c>
      <c r="O19" s="25">
        <f>+контингент!Q19-Byudjet!O19</f>
        <v>0</v>
      </c>
      <c r="P19" s="25">
        <f>+контингент!S19-Byudjet!P19</f>
        <v>0</v>
      </c>
      <c r="Q19" s="25">
        <f>+контингент!T19-Byudjet!Q19</f>
        <v>0</v>
      </c>
      <c r="R19" s="25">
        <f>+контингент!U19-Byudjet!R19</f>
        <v>0</v>
      </c>
      <c r="S19" s="25">
        <f>+контингент!V19-Byudjet!S19</f>
        <v>0</v>
      </c>
      <c r="T19" s="25">
        <f>+контингент!X19-Byudjet!T19</f>
        <v>0</v>
      </c>
      <c r="U19" s="25">
        <f>+контингент!Y19-Byudjet!U19</f>
        <v>0</v>
      </c>
      <c r="V19" s="25">
        <f>+контингент!Z19-Byudjet!V19</f>
        <v>0</v>
      </c>
      <c r="W19" s="25">
        <f>+контингент!AA19-Byudjet!W19</f>
        <v>0</v>
      </c>
      <c r="X19" s="25">
        <f>+контингент!AC19-Byudjet!X19</f>
        <v>0</v>
      </c>
      <c r="Y19" s="25">
        <f>+контингент!AD19-Byudjet!Y19</f>
        <v>13</v>
      </c>
      <c r="Z19" s="25">
        <f>+контингент!AE19-Byudjet!Z19</f>
        <v>0</v>
      </c>
      <c r="AA19" s="25">
        <f>+контингент!AF19-Byudjet!AA19</f>
        <v>0</v>
      </c>
      <c r="AB19" s="89">
        <f aca="true" t="shared" si="9" ref="AB19:AB24">Y19+Z19</f>
        <v>13</v>
      </c>
    </row>
    <row r="20" spans="1:28" ht="22.5">
      <c r="A20" s="24">
        <v>15</v>
      </c>
      <c r="B20" s="53"/>
      <c r="C20" s="50">
        <v>60420100</v>
      </c>
      <c r="D20" s="65" t="s">
        <v>47</v>
      </c>
      <c r="E20" s="25">
        <f>+контингент!E20-Byudjet!E20</f>
        <v>0</v>
      </c>
      <c r="F20" s="25">
        <f>+контингент!F20-Byudjet!F20</f>
        <v>0</v>
      </c>
      <c r="G20" s="25">
        <f>+контингент!G20-Byudjet!G20</f>
        <v>0</v>
      </c>
      <c r="H20" s="25">
        <f>+контингент!I20-Byudjet!H20</f>
        <v>0</v>
      </c>
      <c r="I20" s="25">
        <f>+контингент!J20-Byudjet!I20</f>
        <v>37</v>
      </c>
      <c r="J20" s="25">
        <f>+контингент!K20-Byudjet!J20</f>
        <v>0</v>
      </c>
      <c r="K20" s="25">
        <f>+контингент!L20-Byudjet!K20</f>
        <v>0</v>
      </c>
      <c r="L20" s="25">
        <f>+контингент!N20-Byudjet!L20</f>
        <v>37</v>
      </c>
      <c r="M20" s="25">
        <f>+контингент!O20-Byudjet!M20</f>
        <v>0</v>
      </c>
      <c r="N20" s="25">
        <f>+контингент!P20-Byudjet!N20</f>
        <v>0</v>
      </c>
      <c r="O20" s="25">
        <f>+контингент!Q20-Byudjet!O20</f>
        <v>0</v>
      </c>
      <c r="P20" s="25">
        <f>+контингент!S20-Byudjet!P20</f>
        <v>0</v>
      </c>
      <c r="Q20" s="25">
        <f>+контингент!T20-Byudjet!Q20</f>
        <v>0</v>
      </c>
      <c r="R20" s="25">
        <f>+контингент!U20-Byudjet!R20</f>
        <v>0</v>
      </c>
      <c r="S20" s="25">
        <f>+контингент!V20-Byudjet!S20</f>
        <v>0</v>
      </c>
      <c r="T20" s="25">
        <f>+контингент!X20-Byudjet!T20</f>
        <v>0</v>
      </c>
      <c r="U20" s="25">
        <f>+контингент!Y20-Byudjet!U20</f>
        <v>0</v>
      </c>
      <c r="V20" s="25">
        <f>+контингент!Z20-Byudjet!V20</f>
        <v>0</v>
      </c>
      <c r="W20" s="25">
        <f>+контингент!AA20-Byudjet!W20</f>
        <v>0</v>
      </c>
      <c r="X20" s="25">
        <f>+контингент!AC20-Byudjet!X20</f>
        <v>0</v>
      </c>
      <c r="Y20" s="25">
        <f>+контингент!AD20-Byudjet!Y20</f>
        <v>37</v>
      </c>
      <c r="Z20" s="25">
        <f>+контингент!AE20-Byudjet!Z20</f>
        <v>0</v>
      </c>
      <c r="AA20" s="25">
        <f>+контингент!AF20-Byudjet!AA20</f>
        <v>0</v>
      </c>
      <c r="AB20" s="89">
        <f t="shared" si="9"/>
        <v>37</v>
      </c>
    </row>
    <row r="21" spans="1:28" ht="12.75">
      <c r="A21" s="24">
        <v>16</v>
      </c>
      <c r="B21" s="53"/>
      <c r="C21" s="50">
        <v>60510100</v>
      </c>
      <c r="D21" s="65" t="s">
        <v>48</v>
      </c>
      <c r="E21" s="25">
        <f>+контингент!E21-Byudjet!E21</f>
        <v>25</v>
      </c>
      <c r="F21" s="25">
        <f>+контингент!F21-Byudjet!F21</f>
        <v>0</v>
      </c>
      <c r="G21" s="25">
        <f>+контингент!G21-Byudjet!G21</f>
        <v>0</v>
      </c>
      <c r="H21" s="25">
        <f>+контингент!I21-Byudjet!H21</f>
        <v>25</v>
      </c>
      <c r="I21" s="25">
        <f>+контингент!J21-Byudjet!I21</f>
        <v>30</v>
      </c>
      <c r="J21" s="25">
        <f>+контингент!K21-Byudjet!J21</f>
        <v>0</v>
      </c>
      <c r="K21" s="25">
        <f>+контингент!L21-Byudjet!K21</f>
        <v>0</v>
      </c>
      <c r="L21" s="25">
        <f>+контингент!N21-Byudjet!L21</f>
        <v>30</v>
      </c>
      <c r="M21" s="25">
        <f>+контингент!O21-Byudjet!M21</f>
        <v>0</v>
      </c>
      <c r="N21" s="25">
        <f>+контингент!P21-Byudjet!N21</f>
        <v>0</v>
      </c>
      <c r="O21" s="25">
        <f>+контингент!Q21-Byudjet!O21</f>
        <v>0</v>
      </c>
      <c r="P21" s="25">
        <f>+контингент!S21-Byudjet!P21</f>
        <v>0</v>
      </c>
      <c r="Q21" s="25">
        <f>+контингент!T21-Byudjet!Q21</f>
        <v>0</v>
      </c>
      <c r="R21" s="25">
        <f>+контингент!U21-Byudjet!R21</f>
        <v>0</v>
      </c>
      <c r="S21" s="25">
        <f>+контингент!V21-Byudjet!S21</f>
        <v>0</v>
      </c>
      <c r="T21" s="25">
        <f>+контингент!X21-Byudjet!T21</f>
        <v>0</v>
      </c>
      <c r="U21" s="25">
        <f>+контингент!Y21-Byudjet!U21</f>
        <v>0</v>
      </c>
      <c r="V21" s="25">
        <f>+контингент!Z21-Byudjet!V21</f>
        <v>0</v>
      </c>
      <c r="W21" s="25">
        <f>+контингент!AA21-Byudjet!W21</f>
        <v>0</v>
      </c>
      <c r="X21" s="25">
        <f>+контингент!AC21-Byudjet!X21</f>
        <v>0</v>
      </c>
      <c r="Y21" s="25">
        <f>+контингент!AD21-Byudjet!Y21</f>
        <v>55</v>
      </c>
      <c r="Z21" s="25">
        <f>+контингент!AE21-Byudjet!Z21</f>
        <v>0</v>
      </c>
      <c r="AA21" s="25">
        <f>+контингент!AF21-Byudjet!AA21</f>
        <v>0</v>
      </c>
      <c r="AB21" s="89">
        <f t="shared" si="9"/>
        <v>55</v>
      </c>
    </row>
    <row r="22" spans="1:28" ht="12.75">
      <c r="A22" s="24">
        <v>17</v>
      </c>
      <c r="B22" s="53"/>
      <c r="C22" s="50">
        <v>60530400</v>
      </c>
      <c r="D22" s="65" t="s">
        <v>49</v>
      </c>
      <c r="E22" s="25">
        <f>+контингент!E22-Byudjet!E22</f>
        <v>21</v>
      </c>
      <c r="F22" s="25">
        <f>+контингент!F22-Byudjet!F22</f>
        <v>0</v>
      </c>
      <c r="G22" s="25">
        <f>+контингент!G22-Byudjet!G22</f>
        <v>0</v>
      </c>
      <c r="H22" s="25">
        <f>+контингент!I22-Byudjet!H22</f>
        <v>21</v>
      </c>
      <c r="I22" s="25">
        <f>+контингент!J22-Byudjet!I22</f>
        <v>36</v>
      </c>
      <c r="J22" s="25">
        <f>+контингент!K22-Byudjet!J22</f>
        <v>0</v>
      </c>
      <c r="K22" s="25">
        <f>+контингент!L22-Byudjet!K22</f>
        <v>0</v>
      </c>
      <c r="L22" s="25">
        <f>+контингент!N22-Byudjet!L22</f>
        <v>36</v>
      </c>
      <c r="M22" s="25">
        <f>+контингент!O22-Byudjet!M22</f>
        <v>0</v>
      </c>
      <c r="N22" s="25">
        <f>+контингент!P22-Byudjet!N22</f>
        <v>0</v>
      </c>
      <c r="O22" s="25">
        <f>+контингент!Q22-Byudjet!O22</f>
        <v>0</v>
      </c>
      <c r="P22" s="25">
        <f>+контингент!S22-Byudjet!P22</f>
        <v>0</v>
      </c>
      <c r="Q22" s="25">
        <f>+контингент!T22-Byudjet!Q22</f>
        <v>0</v>
      </c>
      <c r="R22" s="25">
        <f>+контингент!U22-Byudjet!R22</f>
        <v>0</v>
      </c>
      <c r="S22" s="25">
        <f>+контингент!V22-Byudjet!S22</f>
        <v>0</v>
      </c>
      <c r="T22" s="25">
        <f>+контингент!X22-Byudjet!T22</f>
        <v>0</v>
      </c>
      <c r="U22" s="25">
        <f>+контингент!Y22-Byudjet!U22</f>
        <v>0</v>
      </c>
      <c r="V22" s="25">
        <f>+контингент!Z22-Byudjet!V22</f>
        <v>0</v>
      </c>
      <c r="W22" s="25">
        <f>+контингент!AA22-Byudjet!W22</f>
        <v>0</v>
      </c>
      <c r="X22" s="25">
        <f>+контингент!AC22-Byudjet!X22</f>
        <v>0</v>
      </c>
      <c r="Y22" s="25">
        <f>+контингент!AD22-Byudjet!Y22</f>
        <v>57</v>
      </c>
      <c r="Z22" s="25">
        <f>+контингент!AE22-Byudjet!Z22</f>
        <v>0</v>
      </c>
      <c r="AA22" s="25">
        <f>+контингент!AF22-Byudjet!AA22</f>
        <v>0</v>
      </c>
      <c r="AB22" s="89">
        <f t="shared" si="9"/>
        <v>57</v>
      </c>
    </row>
    <row r="23" spans="1:28" ht="12.75">
      <c r="A23" s="24">
        <v>18</v>
      </c>
      <c r="B23" s="53"/>
      <c r="C23" s="26">
        <v>60310900</v>
      </c>
      <c r="D23" s="26" t="s">
        <v>58</v>
      </c>
      <c r="E23" s="25">
        <f>+контингент!E23-Byudjet!E23</f>
        <v>63</v>
      </c>
      <c r="F23" s="25">
        <f>+контингент!F23-Byudjet!F23</f>
        <v>0</v>
      </c>
      <c r="G23" s="25">
        <f>+контингент!G23-Byudjet!G23</f>
        <v>0</v>
      </c>
      <c r="H23" s="25">
        <f>+контингент!I23-Byudjet!H23</f>
        <v>63</v>
      </c>
      <c r="I23" s="25">
        <f>+контингент!J23-Byudjet!I23</f>
        <v>0</v>
      </c>
      <c r="J23" s="25">
        <f>+контингент!K23-Byudjet!J23</f>
        <v>0</v>
      </c>
      <c r="K23" s="25">
        <f>+контингент!L23-Byudjet!K23</f>
        <v>0</v>
      </c>
      <c r="L23" s="25">
        <f>+контингент!L23-Byudjet!L23</f>
        <v>0</v>
      </c>
      <c r="M23" s="25">
        <f>+контингент!O23-Byudjet!M23</f>
        <v>0</v>
      </c>
      <c r="N23" s="25">
        <f>+контингент!P23-Byudjet!N23</f>
        <v>0</v>
      </c>
      <c r="O23" s="25">
        <f>+контингент!Q23-Byudjet!O23</f>
        <v>0</v>
      </c>
      <c r="P23" s="25">
        <f>+контингент!P23-Byudjet!P23</f>
        <v>0</v>
      </c>
      <c r="Q23" s="25">
        <f>+контингент!T23-Byudjet!Q23</f>
        <v>0</v>
      </c>
      <c r="R23" s="25">
        <f>+контингент!U23-Byudjet!R23</f>
        <v>0</v>
      </c>
      <c r="S23" s="25">
        <f>+контингент!V23-Byudjet!S23</f>
        <v>0</v>
      </c>
      <c r="T23" s="25">
        <f>+контингент!T23-Byudjet!T23</f>
        <v>0</v>
      </c>
      <c r="U23" s="25">
        <f>+контингент!Y23-Byudjet!U23</f>
        <v>0</v>
      </c>
      <c r="V23" s="25">
        <f>+контингент!Z23-Byudjet!V23</f>
        <v>0</v>
      </c>
      <c r="W23" s="25">
        <f>+контингент!AA23-Byudjet!W23</f>
        <v>0</v>
      </c>
      <c r="X23" s="25">
        <f>+контингент!X23-Byudjet!X23</f>
        <v>0</v>
      </c>
      <c r="Y23" s="25">
        <f>+контингент!AD23-Byudjet!Y23</f>
        <v>63</v>
      </c>
      <c r="Z23" s="25">
        <f>+контингент!AE23-Byudjet!Z23</f>
        <v>0</v>
      </c>
      <c r="AA23" s="25">
        <f>+контингент!AF23-Byudjet!AA23</f>
        <v>0</v>
      </c>
      <c r="AB23" s="89">
        <f t="shared" si="9"/>
        <v>63</v>
      </c>
    </row>
    <row r="24" spans="1:28" ht="22.5">
      <c r="A24" s="24">
        <v>19</v>
      </c>
      <c r="B24" s="53"/>
      <c r="C24" s="26">
        <v>60220300</v>
      </c>
      <c r="D24" s="86" t="s">
        <v>59</v>
      </c>
      <c r="E24" s="25">
        <f>+контингент!E24-Byudjet!E24</f>
        <v>55</v>
      </c>
      <c r="F24" s="25">
        <f>+контингент!F24-Byudjet!F24</f>
        <v>0</v>
      </c>
      <c r="G24" s="25">
        <f>+контингент!G24-Byudjet!G24</f>
        <v>0</v>
      </c>
      <c r="H24" s="25">
        <f>+контингент!I24-Byudjet!H24</f>
        <v>55</v>
      </c>
      <c r="I24" s="25">
        <f>+контингент!J24-Byudjet!I24</f>
        <v>0</v>
      </c>
      <c r="J24" s="25">
        <f>+контингент!K24-Byudjet!J24</f>
        <v>0</v>
      </c>
      <c r="K24" s="25">
        <f>+контингент!L24-Byudjet!K24</f>
        <v>0</v>
      </c>
      <c r="L24" s="25">
        <f>+контингент!L24-Byudjet!L24</f>
        <v>0</v>
      </c>
      <c r="M24" s="25">
        <f>+контингент!O24-Byudjet!M24</f>
        <v>0</v>
      </c>
      <c r="N24" s="25">
        <f>+контингент!P24-Byudjet!N24</f>
        <v>0</v>
      </c>
      <c r="O24" s="25">
        <f>+контингент!Q24-Byudjet!O24</f>
        <v>0</v>
      </c>
      <c r="P24" s="25">
        <f>+контингент!P24-Byudjet!P24</f>
        <v>0</v>
      </c>
      <c r="Q24" s="25">
        <f>+контингент!T24-Byudjet!Q24</f>
        <v>0</v>
      </c>
      <c r="R24" s="25">
        <f>+контингент!U24-Byudjet!R24</f>
        <v>0</v>
      </c>
      <c r="S24" s="25">
        <f>+контингент!V24-Byudjet!S24</f>
        <v>0</v>
      </c>
      <c r="T24" s="25">
        <f>+контингент!T24-Byudjet!T24</f>
        <v>0</v>
      </c>
      <c r="U24" s="25">
        <f>+контингент!Y24-Byudjet!U24</f>
        <v>0</v>
      </c>
      <c r="V24" s="25">
        <f>+контингент!Z24-Byudjet!V24</f>
        <v>0</v>
      </c>
      <c r="W24" s="25">
        <f>+контингент!AA24-Byudjet!W24</f>
        <v>0</v>
      </c>
      <c r="X24" s="25">
        <f>+контингент!X24-Byudjet!X24</f>
        <v>0</v>
      </c>
      <c r="Y24" s="25">
        <f>+контингент!AD24-Byudjet!Y24</f>
        <v>55</v>
      </c>
      <c r="Z24" s="25">
        <f>+контингент!AE24-Byudjet!Z24</f>
        <v>0</v>
      </c>
      <c r="AA24" s="25">
        <f>+контингент!AF24-Byudjet!AA24</f>
        <v>0</v>
      </c>
      <c r="AB24" s="89">
        <f t="shared" si="9"/>
        <v>55</v>
      </c>
    </row>
    <row r="25" spans="1:28" ht="12.75">
      <c r="A25" s="29"/>
      <c r="B25" s="29"/>
      <c r="C25" s="38"/>
      <c r="D25" s="29" t="s">
        <v>5</v>
      </c>
      <c r="E25" s="30">
        <f>SUM(E6:E24)</f>
        <v>323</v>
      </c>
      <c r="F25" s="30">
        <f aca="true" t="shared" si="10" ref="F25:AA25">SUM(F6:F22)</f>
        <v>0</v>
      </c>
      <c r="G25" s="30">
        <f t="shared" si="10"/>
        <v>0</v>
      </c>
      <c r="H25" s="30">
        <f>SUM(H6:H24)</f>
        <v>323</v>
      </c>
      <c r="I25" s="30">
        <f t="shared" si="10"/>
        <v>237</v>
      </c>
      <c r="J25" s="30">
        <f t="shared" si="10"/>
        <v>28</v>
      </c>
      <c r="K25" s="30">
        <f t="shared" si="10"/>
        <v>20</v>
      </c>
      <c r="L25" s="30">
        <f t="shared" si="10"/>
        <v>285</v>
      </c>
      <c r="M25" s="30">
        <f t="shared" si="10"/>
        <v>63</v>
      </c>
      <c r="N25" s="30">
        <f t="shared" si="10"/>
        <v>0</v>
      </c>
      <c r="O25" s="30">
        <f t="shared" si="10"/>
        <v>0</v>
      </c>
      <c r="P25" s="30">
        <f t="shared" si="10"/>
        <v>63</v>
      </c>
      <c r="Q25" s="30">
        <f t="shared" si="10"/>
        <v>609</v>
      </c>
      <c r="R25" s="30">
        <f t="shared" si="10"/>
        <v>0</v>
      </c>
      <c r="S25" s="30">
        <f t="shared" si="10"/>
        <v>0</v>
      </c>
      <c r="T25" s="30">
        <f t="shared" si="10"/>
        <v>609</v>
      </c>
      <c r="U25" s="30">
        <f t="shared" si="10"/>
        <v>221</v>
      </c>
      <c r="V25" s="30">
        <f t="shared" si="10"/>
        <v>114</v>
      </c>
      <c r="W25" s="30">
        <f t="shared" si="10"/>
        <v>0</v>
      </c>
      <c r="X25" s="30">
        <f t="shared" si="10"/>
        <v>335</v>
      </c>
      <c r="Y25" s="30">
        <f t="shared" si="10"/>
        <v>1335</v>
      </c>
      <c r="Z25" s="30">
        <f t="shared" si="10"/>
        <v>142</v>
      </c>
      <c r="AA25" s="30">
        <f t="shared" si="10"/>
        <v>20</v>
      </c>
      <c r="AB25" s="92">
        <f>SUM(AB6:AB24)</f>
        <v>1615</v>
      </c>
    </row>
    <row r="27" spans="4:9" ht="12.75">
      <c r="D27" s="34" t="s">
        <v>18</v>
      </c>
      <c r="E27" s="33">
        <f>SUM(AB6:AB16)</f>
        <v>1185</v>
      </c>
      <c r="I27" s="37"/>
    </row>
    <row r="28" spans="4:9" ht="22.5">
      <c r="D28" s="35" t="s">
        <v>19</v>
      </c>
      <c r="E28" s="33"/>
      <c r="I28" s="37"/>
    </row>
    <row r="29" spans="4:9" ht="12.75">
      <c r="D29" s="35" t="s">
        <v>20</v>
      </c>
      <c r="E29" s="33"/>
      <c r="I29" s="37"/>
    </row>
    <row r="30" spans="4:9" ht="12.75">
      <c r="D30" s="35" t="s">
        <v>21</v>
      </c>
      <c r="E30" s="33"/>
      <c r="I30" s="37"/>
    </row>
    <row r="31" spans="4:9" ht="22.5">
      <c r="D31" s="36" t="s">
        <v>22</v>
      </c>
      <c r="E31" s="33"/>
      <c r="I31" s="37"/>
    </row>
    <row r="32" spans="4:9" ht="22.5">
      <c r="D32" s="34" t="s">
        <v>23</v>
      </c>
      <c r="E32" s="33"/>
      <c r="I32" s="37"/>
    </row>
    <row r="33" spans="4:9" ht="12.75">
      <c r="D33" s="51"/>
      <c r="E33" s="37"/>
      <c r="I33" s="37"/>
    </row>
    <row r="34" spans="4:5" ht="12.75">
      <c r="D34" s="66" t="s">
        <v>54</v>
      </c>
      <c r="E34" s="67">
        <f>+AB10+AB11+AB17+AB18</f>
        <v>263</v>
      </c>
    </row>
    <row r="35" spans="4:5" ht="22.5">
      <c r="D35" s="68" t="s">
        <v>38</v>
      </c>
      <c r="E35" s="67">
        <f>+AB8+AB12+AB13+AB14+AB15</f>
        <v>523</v>
      </c>
    </row>
    <row r="36" spans="4:5" ht="12.75">
      <c r="D36" s="66" t="s">
        <v>33</v>
      </c>
      <c r="E36" s="67"/>
    </row>
    <row r="37" spans="4:5" ht="12.75">
      <c r="D37" s="69" t="s">
        <v>27</v>
      </c>
      <c r="E37" s="67"/>
    </row>
    <row r="38" spans="4:5" ht="12.75">
      <c r="D38" s="66" t="s">
        <v>34</v>
      </c>
      <c r="E38" s="67">
        <f>+AB19</f>
        <v>13</v>
      </c>
    </row>
    <row r="39" spans="4:5" ht="12.75">
      <c r="D39" s="66" t="s">
        <v>26</v>
      </c>
      <c r="E39" s="67">
        <f>+AB21</f>
        <v>55</v>
      </c>
    </row>
    <row r="40" spans="4:5" ht="12.75">
      <c r="D40" s="66" t="s">
        <v>35</v>
      </c>
      <c r="E40" s="67">
        <f>+AB22+AB7+AB9</f>
        <v>270</v>
      </c>
    </row>
    <row r="41" spans="4:5" ht="12.75">
      <c r="D41" s="66" t="s">
        <v>55</v>
      </c>
      <c r="E41" s="67">
        <f>+AB20</f>
        <v>37</v>
      </c>
    </row>
    <row r="42" spans="4:5" ht="12.75">
      <c r="D42" s="66" t="s">
        <v>36</v>
      </c>
      <c r="E42" s="67">
        <f>+AB6+AB16</f>
        <v>336</v>
      </c>
    </row>
    <row r="43" spans="4:5" ht="12.75">
      <c r="D43" s="70" t="s">
        <v>37</v>
      </c>
      <c r="E43" s="67"/>
    </row>
    <row r="44" spans="4:5" ht="13.5">
      <c r="D44" s="71" t="s">
        <v>56</v>
      </c>
      <c r="E44" s="67"/>
    </row>
  </sheetData>
  <sheetProtection/>
  <mergeCells count="5">
    <mergeCell ref="A1:AB1"/>
    <mergeCell ref="A2:AB2"/>
    <mergeCell ref="C3:C4"/>
    <mergeCell ref="D3:D4"/>
    <mergeCell ref="A5:AB5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zoomScale="115" zoomScaleNormal="115" zoomScalePageLayoutView="0" workbookViewId="0" topLeftCell="A1">
      <selection activeCell="J10" sqref="J10:J11"/>
    </sheetView>
  </sheetViews>
  <sheetFormatPr defaultColWidth="9.00390625" defaultRowHeight="12.75"/>
  <cols>
    <col min="1" max="1" width="3.00390625" style="0" customWidth="1"/>
    <col min="2" max="2" width="22.25390625" style="0" customWidth="1"/>
    <col min="3" max="3" width="5.75390625" style="0" customWidth="1"/>
    <col min="4" max="4" width="3.375" style="0" customWidth="1"/>
    <col min="5" max="5" width="4.00390625" style="0" customWidth="1"/>
    <col min="6" max="6" width="5.625" style="0" customWidth="1"/>
    <col min="7" max="7" width="4.875" style="0" customWidth="1"/>
    <col min="8" max="9" width="3.875" style="0" customWidth="1"/>
    <col min="10" max="10" width="5.25390625" style="0" customWidth="1"/>
    <col min="11" max="11" width="3.875" style="0" customWidth="1"/>
    <col min="12" max="13" width="3.75390625" style="0" customWidth="1"/>
    <col min="14" max="22" width="5.625" style="0" customWidth="1"/>
    <col min="23" max="23" width="5.75390625" style="0" customWidth="1"/>
    <col min="24" max="24" width="4.125" style="0" customWidth="1"/>
    <col min="25" max="25" width="6.875" style="0" customWidth="1"/>
    <col min="26" max="26" width="6.00390625" style="0" customWidth="1"/>
    <col min="27" max="27" width="18.75390625" style="0" bestFit="1" customWidth="1"/>
    <col min="28" max="28" width="9.125" style="3" customWidth="1"/>
  </cols>
  <sheetData>
    <row r="1" spans="1:26" ht="15.75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.75">
      <c r="A2" s="102" t="str">
        <f>контингент!A2</f>
        <v>01.11.2023 йил холати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8" s="9" customFormat="1" ht="12.75">
      <c r="A3" s="4"/>
      <c r="B3" s="104" t="s">
        <v>0</v>
      </c>
      <c r="C3" s="4"/>
      <c r="D3" s="5" t="s">
        <v>25</v>
      </c>
      <c r="E3" s="6"/>
      <c r="F3" s="7"/>
      <c r="G3" s="4"/>
      <c r="H3" s="5" t="s">
        <v>9</v>
      </c>
      <c r="I3" s="6"/>
      <c r="J3" s="7"/>
      <c r="K3" s="4"/>
      <c r="L3" s="5" t="s">
        <v>10</v>
      </c>
      <c r="M3" s="6"/>
      <c r="N3" s="7"/>
      <c r="O3" s="4"/>
      <c r="P3" s="5" t="s">
        <v>1</v>
      </c>
      <c r="Q3" s="6"/>
      <c r="R3" s="7"/>
      <c r="S3" s="4"/>
      <c r="T3" s="5" t="s">
        <v>44</v>
      </c>
      <c r="U3" s="6"/>
      <c r="V3" s="7"/>
      <c r="W3" s="4"/>
      <c r="X3" s="5" t="s">
        <v>5</v>
      </c>
      <c r="Y3" s="6"/>
      <c r="Z3" s="8"/>
      <c r="AB3" s="11"/>
    </row>
    <row r="4" spans="1:28" s="9" customFormat="1" ht="12.75">
      <c r="A4" s="10"/>
      <c r="B4" s="105"/>
      <c r="C4" s="8" t="s">
        <v>2</v>
      </c>
      <c r="D4" s="8" t="s">
        <v>6</v>
      </c>
      <c r="E4" s="8" t="s">
        <v>4</v>
      </c>
      <c r="F4" s="8" t="s">
        <v>5</v>
      </c>
      <c r="G4" s="8" t="s">
        <v>8</v>
      </c>
      <c r="H4" s="8" t="s">
        <v>6</v>
      </c>
      <c r="I4" s="8" t="s">
        <v>7</v>
      </c>
      <c r="J4" s="8" t="s">
        <v>5</v>
      </c>
      <c r="K4" s="8" t="s">
        <v>2</v>
      </c>
      <c r="L4" s="8" t="s">
        <v>6</v>
      </c>
      <c r="M4" s="8" t="s">
        <v>7</v>
      </c>
      <c r="N4" s="8" t="s">
        <v>5</v>
      </c>
      <c r="O4" s="8" t="s">
        <v>2</v>
      </c>
      <c r="P4" s="8" t="s">
        <v>6</v>
      </c>
      <c r="Q4" s="8" t="s">
        <v>7</v>
      </c>
      <c r="R4" s="8" t="s">
        <v>5</v>
      </c>
      <c r="S4" s="8" t="s">
        <v>2</v>
      </c>
      <c r="T4" s="8" t="s">
        <v>6</v>
      </c>
      <c r="U4" s="8" t="s">
        <v>7</v>
      </c>
      <c r="V4" s="8" t="s">
        <v>5</v>
      </c>
      <c r="W4" s="8" t="s">
        <v>2</v>
      </c>
      <c r="X4" s="8" t="s">
        <v>3</v>
      </c>
      <c r="Y4" s="8" t="s">
        <v>4</v>
      </c>
      <c r="Z4" s="8" t="s">
        <v>5</v>
      </c>
      <c r="AB4" s="11"/>
    </row>
    <row r="5" spans="1:26" ht="12.75">
      <c r="A5" s="106" t="s">
        <v>29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8" s="13" customFormat="1" ht="12.75">
      <c r="A6" s="16">
        <v>1</v>
      </c>
      <c r="B6" s="63" t="s">
        <v>13</v>
      </c>
      <c r="C6" s="72"/>
      <c r="D6" s="16"/>
      <c r="E6" s="16"/>
      <c r="F6" s="72">
        <f aca="true" t="shared" si="0" ref="F6:F24">SUM(C6:E6)</f>
        <v>0</v>
      </c>
      <c r="G6" s="72">
        <v>7</v>
      </c>
      <c r="H6" s="16"/>
      <c r="I6" s="16"/>
      <c r="J6" s="72">
        <f aca="true" t="shared" si="1" ref="J6:J24">G6+H6+I6</f>
        <v>7</v>
      </c>
      <c r="K6" s="16"/>
      <c r="L6" s="16"/>
      <c r="M6" s="16"/>
      <c r="N6" s="72">
        <f>K6+L6+M6</f>
        <v>0</v>
      </c>
      <c r="O6" s="16"/>
      <c r="P6" s="16"/>
      <c r="Q6" s="16"/>
      <c r="R6" s="72">
        <f aca="true" t="shared" si="2" ref="R6:R24">O6+P6+Q6</f>
        <v>0</v>
      </c>
      <c r="S6" s="16">
        <v>18</v>
      </c>
      <c r="T6" s="16"/>
      <c r="U6" s="16"/>
      <c r="V6" s="72">
        <f>S6+T6+U6</f>
        <v>18</v>
      </c>
      <c r="W6" s="16">
        <f>C6+G6+K6+O6+S6</f>
        <v>25</v>
      </c>
      <c r="X6" s="16">
        <f aca="true" t="shared" si="3" ref="X6:X17">D6+H6+L6+P6+T6</f>
        <v>0</v>
      </c>
      <c r="Y6" s="16">
        <f aca="true" t="shared" si="4" ref="Y6:Y17">E6+I6+M6+Q6+U6</f>
        <v>0</v>
      </c>
      <c r="Z6" s="15">
        <f>W6+X6+Y6</f>
        <v>25</v>
      </c>
      <c r="AB6" s="14"/>
    </row>
    <row r="7" spans="1:26" ht="12.75">
      <c r="A7" s="16">
        <v>2</v>
      </c>
      <c r="B7" s="64" t="s">
        <v>50</v>
      </c>
      <c r="C7" s="72"/>
      <c r="D7" s="16"/>
      <c r="E7" s="16"/>
      <c r="F7" s="72">
        <f t="shared" si="0"/>
        <v>0</v>
      </c>
      <c r="G7" s="72">
        <v>8</v>
      </c>
      <c r="H7" s="16"/>
      <c r="I7" s="16"/>
      <c r="J7" s="72">
        <f t="shared" si="1"/>
        <v>8</v>
      </c>
      <c r="K7" s="16"/>
      <c r="L7" s="16"/>
      <c r="M7" s="16"/>
      <c r="N7" s="72">
        <f aca="true" t="shared" si="5" ref="N7:N24">K7+L7+M7</f>
        <v>0</v>
      </c>
      <c r="O7" s="16"/>
      <c r="P7" s="16"/>
      <c r="Q7" s="16"/>
      <c r="R7" s="72">
        <f t="shared" si="2"/>
        <v>0</v>
      </c>
      <c r="S7" s="16">
        <v>13</v>
      </c>
      <c r="T7" s="16"/>
      <c r="U7" s="16"/>
      <c r="V7" s="72">
        <f aca="true" t="shared" si="6" ref="V7:V24">S7+T7+U7</f>
        <v>13</v>
      </c>
      <c r="W7" s="16">
        <f aca="true" t="shared" si="7" ref="W7:W17">C7+G7+K7+O7+S7</f>
        <v>21</v>
      </c>
      <c r="X7" s="16">
        <f t="shared" si="3"/>
        <v>0</v>
      </c>
      <c r="Y7" s="16">
        <f t="shared" si="4"/>
        <v>0</v>
      </c>
      <c r="Z7" s="15">
        <f aca="true" t="shared" si="8" ref="Z7:Z22">W7+X7+Y7</f>
        <v>21</v>
      </c>
    </row>
    <row r="8" spans="1:26" ht="22.5">
      <c r="A8" s="16">
        <v>3</v>
      </c>
      <c r="B8" s="65" t="s">
        <v>24</v>
      </c>
      <c r="C8" s="16"/>
      <c r="D8" s="16"/>
      <c r="E8" s="16"/>
      <c r="F8" s="72">
        <f t="shared" si="0"/>
        <v>0</v>
      </c>
      <c r="G8" s="16"/>
      <c r="H8" s="16"/>
      <c r="I8" s="16"/>
      <c r="J8" s="72">
        <f t="shared" si="1"/>
        <v>0</v>
      </c>
      <c r="K8" s="16"/>
      <c r="L8" s="16"/>
      <c r="M8" s="16"/>
      <c r="N8" s="72">
        <f t="shared" si="5"/>
        <v>0</v>
      </c>
      <c r="O8" s="16"/>
      <c r="P8" s="16"/>
      <c r="Q8" s="16"/>
      <c r="R8" s="72">
        <f t="shared" si="2"/>
        <v>0</v>
      </c>
      <c r="S8" s="16">
        <v>12</v>
      </c>
      <c r="T8" s="16"/>
      <c r="U8" s="16"/>
      <c r="V8" s="72">
        <f t="shared" si="6"/>
        <v>12</v>
      </c>
      <c r="W8" s="16">
        <f t="shared" si="7"/>
        <v>12</v>
      </c>
      <c r="X8" s="16">
        <f t="shared" si="3"/>
        <v>0</v>
      </c>
      <c r="Y8" s="16">
        <f t="shared" si="4"/>
        <v>0</v>
      </c>
      <c r="Z8" s="15">
        <f t="shared" si="8"/>
        <v>12</v>
      </c>
    </row>
    <row r="9" spans="1:26" ht="12.75">
      <c r="A9" s="16">
        <v>4</v>
      </c>
      <c r="B9" s="63" t="s">
        <v>12</v>
      </c>
      <c r="C9" s="72"/>
      <c r="D9" s="16"/>
      <c r="E9" s="16"/>
      <c r="F9" s="72">
        <f t="shared" si="0"/>
        <v>0</v>
      </c>
      <c r="G9" s="72">
        <v>18</v>
      </c>
      <c r="H9" s="16"/>
      <c r="I9" s="16"/>
      <c r="J9" s="72">
        <f t="shared" si="1"/>
        <v>18</v>
      </c>
      <c r="K9" s="16"/>
      <c r="L9" s="16"/>
      <c r="M9" s="16"/>
      <c r="N9" s="72">
        <f t="shared" si="5"/>
        <v>0</v>
      </c>
      <c r="O9" s="16"/>
      <c r="P9" s="16"/>
      <c r="Q9" s="16"/>
      <c r="R9" s="72">
        <f t="shared" si="2"/>
        <v>0</v>
      </c>
      <c r="S9" s="16">
        <v>28</v>
      </c>
      <c r="T9" s="16"/>
      <c r="U9" s="16"/>
      <c r="V9" s="72">
        <f t="shared" si="6"/>
        <v>28</v>
      </c>
      <c r="W9" s="16">
        <f t="shared" si="7"/>
        <v>46</v>
      </c>
      <c r="X9" s="16">
        <f t="shared" si="3"/>
        <v>0</v>
      </c>
      <c r="Y9" s="16">
        <f t="shared" si="4"/>
        <v>0</v>
      </c>
      <c r="Z9" s="15">
        <f t="shared" si="8"/>
        <v>46</v>
      </c>
    </row>
    <row r="10" spans="1:26" ht="22.5">
      <c r="A10" s="16">
        <v>5</v>
      </c>
      <c r="B10" s="64" t="s">
        <v>51</v>
      </c>
      <c r="C10" s="72"/>
      <c r="D10" s="16"/>
      <c r="E10" s="16"/>
      <c r="F10" s="72">
        <f t="shared" si="0"/>
        <v>0</v>
      </c>
      <c r="G10" s="72">
        <v>29</v>
      </c>
      <c r="H10" s="16"/>
      <c r="I10" s="16"/>
      <c r="J10" s="72">
        <f t="shared" si="1"/>
        <v>29</v>
      </c>
      <c r="K10" s="16"/>
      <c r="L10" s="16"/>
      <c r="M10" s="16"/>
      <c r="N10" s="72">
        <f t="shared" si="5"/>
        <v>0</v>
      </c>
      <c r="O10" s="16"/>
      <c r="P10" s="16"/>
      <c r="Q10" s="16"/>
      <c r="R10" s="72">
        <f t="shared" si="2"/>
        <v>0</v>
      </c>
      <c r="S10" s="16">
        <v>23</v>
      </c>
      <c r="T10" s="16"/>
      <c r="U10" s="16"/>
      <c r="V10" s="72">
        <f t="shared" si="6"/>
        <v>23</v>
      </c>
      <c r="W10" s="16">
        <f t="shared" si="7"/>
        <v>52</v>
      </c>
      <c r="X10" s="16">
        <f t="shared" si="3"/>
        <v>0</v>
      </c>
      <c r="Y10" s="16">
        <f t="shared" si="4"/>
        <v>0</v>
      </c>
      <c r="Z10" s="15">
        <f t="shared" si="8"/>
        <v>52</v>
      </c>
    </row>
    <row r="11" spans="1:26" ht="33.75">
      <c r="A11" s="16">
        <v>6</v>
      </c>
      <c r="B11" s="64" t="s">
        <v>52</v>
      </c>
      <c r="C11" s="16"/>
      <c r="D11" s="16"/>
      <c r="E11" s="16"/>
      <c r="F11" s="72">
        <f t="shared" si="0"/>
        <v>0</v>
      </c>
      <c r="G11" s="16"/>
      <c r="H11" s="16"/>
      <c r="I11" s="16"/>
      <c r="J11" s="72">
        <f t="shared" si="1"/>
        <v>0</v>
      </c>
      <c r="K11" s="16"/>
      <c r="L11" s="16"/>
      <c r="M11" s="16"/>
      <c r="N11" s="72">
        <f t="shared" si="5"/>
        <v>0</v>
      </c>
      <c r="O11" s="16"/>
      <c r="P11" s="16"/>
      <c r="Q11" s="16"/>
      <c r="R11" s="72">
        <f t="shared" si="2"/>
        <v>0</v>
      </c>
      <c r="S11" s="16">
        <v>14</v>
      </c>
      <c r="T11" s="16"/>
      <c r="U11" s="16"/>
      <c r="V11" s="72">
        <f t="shared" si="6"/>
        <v>14</v>
      </c>
      <c r="W11" s="16">
        <f t="shared" si="7"/>
        <v>14</v>
      </c>
      <c r="X11" s="16">
        <f t="shared" si="3"/>
        <v>0</v>
      </c>
      <c r="Y11" s="16">
        <f t="shared" si="4"/>
        <v>0</v>
      </c>
      <c r="Z11" s="15">
        <f t="shared" si="8"/>
        <v>14</v>
      </c>
    </row>
    <row r="12" spans="1:26" ht="12.75">
      <c r="A12" s="24">
        <v>7</v>
      </c>
      <c r="B12" s="63" t="s">
        <v>31</v>
      </c>
      <c r="C12" s="16"/>
      <c r="D12" s="16"/>
      <c r="E12" s="16"/>
      <c r="F12" s="72">
        <f t="shared" si="0"/>
        <v>0</v>
      </c>
      <c r="G12" s="16"/>
      <c r="H12" s="16"/>
      <c r="I12" s="16"/>
      <c r="J12" s="72">
        <f t="shared" si="1"/>
        <v>0</v>
      </c>
      <c r="K12" s="16"/>
      <c r="L12" s="16"/>
      <c r="M12" s="16"/>
      <c r="N12" s="72">
        <f t="shared" si="5"/>
        <v>0</v>
      </c>
      <c r="O12" s="16">
        <v>91</v>
      </c>
      <c r="P12" s="16"/>
      <c r="Q12" s="16"/>
      <c r="R12" s="72">
        <f t="shared" si="2"/>
        <v>91</v>
      </c>
      <c r="S12" s="16"/>
      <c r="T12" s="16"/>
      <c r="U12" s="16"/>
      <c r="V12" s="72">
        <f t="shared" si="6"/>
        <v>0</v>
      </c>
      <c r="W12" s="16">
        <f t="shared" si="7"/>
        <v>91</v>
      </c>
      <c r="X12" s="16">
        <f t="shared" si="3"/>
        <v>0</v>
      </c>
      <c r="Y12" s="16">
        <f t="shared" si="4"/>
        <v>0</v>
      </c>
      <c r="Z12" s="15">
        <f t="shared" si="8"/>
        <v>91</v>
      </c>
    </row>
    <row r="13" spans="1:26" ht="12.75">
      <c r="A13" s="24">
        <v>8</v>
      </c>
      <c r="B13" s="64" t="s">
        <v>39</v>
      </c>
      <c r="C13" s="16"/>
      <c r="D13" s="16"/>
      <c r="E13" s="16"/>
      <c r="F13" s="72">
        <f t="shared" si="0"/>
        <v>0</v>
      </c>
      <c r="G13" s="16"/>
      <c r="H13" s="16"/>
      <c r="I13" s="16"/>
      <c r="J13" s="72">
        <f t="shared" si="1"/>
        <v>0</v>
      </c>
      <c r="K13" s="16"/>
      <c r="L13" s="16"/>
      <c r="M13" s="16"/>
      <c r="N13" s="72">
        <f t="shared" si="5"/>
        <v>0</v>
      </c>
      <c r="O13" s="16">
        <v>24</v>
      </c>
      <c r="P13" s="16"/>
      <c r="Q13" s="16"/>
      <c r="R13" s="72">
        <f t="shared" si="2"/>
        <v>24</v>
      </c>
      <c r="S13" s="16"/>
      <c r="T13" s="16"/>
      <c r="U13" s="16"/>
      <c r="V13" s="72">
        <f t="shared" si="6"/>
        <v>0</v>
      </c>
      <c r="W13" s="16">
        <f t="shared" si="7"/>
        <v>24</v>
      </c>
      <c r="X13" s="16">
        <f t="shared" si="3"/>
        <v>0</v>
      </c>
      <c r="Y13" s="16">
        <f t="shared" si="4"/>
        <v>0</v>
      </c>
      <c r="Z13" s="15">
        <f t="shared" si="8"/>
        <v>24</v>
      </c>
    </row>
    <row r="14" spans="1:26" ht="12.75">
      <c r="A14" s="24">
        <v>9</v>
      </c>
      <c r="B14" s="64" t="s">
        <v>40</v>
      </c>
      <c r="C14" s="16"/>
      <c r="D14" s="16"/>
      <c r="E14" s="16"/>
      <c r="F14" s="72">
        <f t="shared" si="0"/>
        <v>0</v>
      </c>
      <c r="G14" s="16"/>
      <c r="H14" s="16"/>
      <c r="I14" s="16"/>
      <c r="J14" s="72">
        <f t="shared" si="1"/>
        <v>0</v>
      </c>
      <c r="K14" s="16"/>
      <c r="L14" s="16"/>
      <c r="M14" s="16"/>
      <c r="N14" s="72">
        <f t="shared" si="5"/>
        <v>0</v>
      </c>
      <c r="O14" s="16">
        <v>17</v>
      </c>
      <c r="P14" s="16"/>
      <c r="Q14" s="16"/>
      <c r="R14" s="72">
        <f t="shared" si="2"/>
        <v>17</v>
      </c>
      <c r="S14" s="16"/>
      <c r="T14" s="16"/>
      <c r="U14" s="16"/>
      <c r="V14" s="72">
        <f t="shared" si="6"/>
        <v>0</v>
      </c>
      <c r="W14" s="16">
        <f t="shared" si="7"/>
        <v>17</v>
      </c>
      <c r="X14" s="16">
        <f t="shared" si="3"/>
        <v>0</v>
      </c>
      <c r="Y14" s="16">
        <f t="shared" si="4"/>
        <v>0</v>
      </c>
      <c r="Z14" s="15">
        <f t="shared" si="8"/>
        <v>17</v>
      </c>
    </row>
    <row r="15" spans="1:26" ht="12.75">
      <c r="A15" s="24">
        <v>10</v>
      </c>
      <c r="B15" s="64" t="s">
        <v>12</v>
      </c>
      <c r="C15" s="16"/>
      <c r="D15" s="16"/>
      <c r="E15" s="16"/>
      <c r="F15" s="72">
        <f t="shared" si="0"/>
        <v>0</v>
      </c>
      <c r="G15" s="16"/>
      <c r="H15" s="16"/>
      <c r="I15" s="16"/>
      <c r="J15" s="72">
        <f t="shared" si="1"/>
        <v>0</v>
      </c>
      <c r="K15" s="16"/>
      <c r="L15" s="16"/>
      <c r="M15" s="16"/>
      <c r="N15" s="72">
        <f t="shared" si="5"/>
        <v>0</v>
      </c>
      <c r="O15" s="16">
        <v>37</v>
      </c>
      <c r="P15" s="16"/>
      <c r="Q15" s="16"/>
      <c r="R15" s="72">
        <f t="shared" si="2"/>
        <v>37</v>
      </c>
      <c r="S15" s="16"/>
      <c r="T15" s="16"/>
      <c r="U15" s="16"/>
      <c r="V15" s="72">
        <f t="shared" si="6"/>
        <v>0</v>
      </c>
      <c r="W15" s="16">
        <f t="shared" si="7"/>
        <v>37</v>
      </c>
      <c r="X15" s="16">
        <f t="shared" si="3"/>
        <v>0</v>
      </c>
      <c r="Y15" s="16">
        <f t="shared" si="4"/>
        <v>0</v>
      </c>
      <c r="Z15" s="15">
        <f t="shared" si="8"/>
        <v>37</v>
      </c>
    </row>
    <row r="16" spans="1:26" ht="12.75">
      <c r="A16" s="24">
        <v>11</v>
      </c>
      <c r="B16" s="64" t="s">
        <v>11</v>
      </c>
      <c r="C16" s="72"/>
      <c r="D16" s="16"/>
      <c r="E16" s="16"/>
      <c r="F16" s="72">
        <f t="shared" si="0"/>
        <v>0</v>
      </c>
      <c r="G16" s="72">
        <v>9</v>
      </c>
      <c r="H16" s="16"/>
      <c r="I16" s="16"/>
      <c r="J16" s="72">
        <f t="shared" si="1"/>
        <v>9</v>
      </c>
      <c r="K16" s="72">
        <v>16</v>
      </c>
      <c r="L16" s="16"/>
      <c r="M16" s="16"/>
      <c r="N16" s="72">
        <f t="shared" si="5"/>
        <v>16</v>
      </c>
      <c r="O16" s="16">
        <v>13</v>
      </c>
      <c r="P16" s="16"/>
      <c r="Q16" s="16"/>
      <c r="R16" s="72">
        <f t="shared" si="2"/>
        <v>13</v>
      </c>
      <c r="S16" s="16"/>
      <c r="T16" s="16"/>
      <c r="U16" s="16"/>
      <c r="V16" s="72">
        <f t="shared" si="6"/>
        <v>0</v>
      </c>
      <c r="W16" s="16">
        <f t="shared" si="7"/>
        <v>38</v>
      </c>
      <c r="X16" s="16">
        <f t="shared" si="3"/>
        <v>0</v>
      </c>
      <c r="Y16" s="16">
        <f t="shared" si="4"/>
        <v>0</v>
      </c>
      <c r="Z16" s="15">
        <f t="shared" si="8"/>
        <v>38</v>
      </c>
    </row>
    <row r="17" spans="1:26" ht="22.5">
      <c r="A17" s="24">
        <v>12</v>
      </c>
      <c r="B17" s="64" t="s">
        <v>53</v>
      </c>
      <c r="C17" s="73"/>
      <c r="D17" s="42"/>
      <c r="E17" s="42"/>
      <c r="F17" s="72">
        <f t="shared" si="0"/>
        <v>0</v>
      </c>
      <c r="G17" s="73">
        <v>19</v>
      </c>
      <c r="H17" s="42"/>
      <c r="I17" s="42"/>
      <c r="J17" s="73">
        <f t="shared" si="1"/>
        <v>19</v>
      </c>
      <c r="K17" s="42"/>
      <c r="L17" s="42"/>
      <c r="M17" s="42"/>
      <c r="N17" s="72">
        <f t="shared" si="5"/>
        <v>0</v>
      </c>
      <c r="O17" s="42">
        <v>43</v>
      </c>
      <c r="P17" s="42"/>
      <c r="Q17" s="42"/>
      <c r="R17" s="72">
        <f t="shared" si="2"/>
        <v>43</v>
      </c>
      <c r="S17" s="47"/>
      <c r="T17" s="47"/>
      <c r="U17" s="47"/>
      <c r="V17" s="72">
        <f t="shared" si="6"/>
        <v>0</v>
      </c>
      <c r="W17" s="16">
        <f t="shared" si="7"/>
        <v>62</v>
      </c>
      <c r="X17" s="16">
        <f t="shared" si="3"/>
        <v>0</v>
      </c>
      <c r="Y17" s="16">
        <f t="shared" si="4"/>
        <v>0</v>
      </c>
      <c r="Z17" s="15">
        <f t="shared" si="8"/>
        <v>62</v>
      </c>
    </row>
    <row r="18" spans="1:26" ht="22.5">
      <c r="A18" s="24">
        <v>13</v>
      </c>
      <c r="B18" s="65" t="s">
        <v>45</v>
      </c>
      <c r="C18" s="73"/>
      <c r="D18" s="42"/>
      <c r="E18" s="42"/>
      <c r="F18" s="72">
        <f t="shared" si="0"/>
        <v>0</v>
      </c>
      <c r="G18" s="73">
        <v>20</v>
      </c>
      <c r="H18" s="42"/>
      <c r="I18" s="42"/>
      <c r="J18" s="73">
        <f t="shared" si="1"/>
        <v>20</v>
      </c>
      <c r="K18" s="42"/>
      <c r="L18" s="42"/>
      <c r="M18" s="42"/>
      <c r="N18" s="72">
        <f t="shared" si="5"/>
        <v>0</v>
      </c>
      <c r="O18" s="42"/>
      <c r="P18" s="42"/>
      <c r="Q18" s="42"/>
      <c r="R18" s="72">
        <f t="shared" si="2"/>
        <v>0</v>
      </c>
      <c r="S18" s="47"/>
      <c r="T18" s="47"/>
      <c r="U18" s="47"/>
      <c r="V18" s="72">
        <f t="shared" si="6"/>
        <v>0</v>
      </c>
      <c r="W18" s="16">
        <f aca="true" t="shared" si="9" ref="W18:Y22">C18+G18+K18+O18+S18</f>
        <v>20</v>
      </c>
      <c r="X18" s="16">
        <f t="shared" si="9"/>
        <v>0</v>
      </c>
      <c r="Y18" s="16">
        <f t="shared" si="9"/>
        <v>0</v>
      </c>
      <c r="Z18" s="15">
        <f t="shared" si="8"/>
        <v>20</v>
      </c>
    </row>
    <row r="19" spans="1:26" ht="22.5">
      <c r="A19" s="24">
        <v>14</v>
      </c>
      <c r="B19" s="65" t="s">
        <v>46</v>
      </c>
      <c r="C19" s="42"/>
      <c r="D19" s="42"/>
      <c r="E19" s="42"/>
      <c r="F19" s="72">
        <f t="shared" si="0"/>
        <v>0</v>
      </c>
      <c r="G19" s="42"/>
      <c r="H19" s="42"/>
      <c r="I19" s="42"/>
      <c r="J19" s="73">
        <f t="shared" si="1"/>
        <v>0</v>
      </c>
      <c r="K19" s="42"/>
      <c r="L19" s="42"/>
      <c r="M19" s="42"/>
      <c r="N19" s="72">
        <f t="shared" si="5"/>
        <v>0</v>
      </c>
      <c r="O19" s="42"/>
      <c r="P19" s="42"/>
      <c r="Q19" s="42"/>
      <c r="R19" s="72">
        <f t="shared" si="2"/>
        <v>0</v>
      </c>
      <c r="S19" s="47"/>
      <c r="T19" s="47"/>
      <c r="U19" s="47"/>
      <c r="V19" s="72">
        <f t="shared" si="6"/>
        <v>0</v>
      </c>
      <c r="W19" s="16">
        <f t="shared" si="9"/>
        <v>0</v>
      </c>
      <c r="X19" s="16">
        <f t="shared" si="9"/>
        <v>0</v>
      </c>
      <c r="Y19" s="16">
        <f t="shared" si="9"/>
        <v>0</v>
      </c>
      <c r="Z19" s="15">
        <f t="shared" si="8"/>
        <v>0</v>
      </c>
    </row>
    <row r="20" spans="1:26" ht="22.5">
      <c r="A20" s="24">
        <v>15</v>
      </c>
      <c r="B20" s="65" t="s">
        <v>47</v>
      </c>
      <c r="C20" s="73"/>
      <c r="D20" s="42"/>
      <c r="E20" s="42"/>
      <c r="F20" s="72">
        <f t="shared" si="0"/>
        <v>0</v>
      </c>
      <c r="G20" s="73">
        <v>5</v>
      </c>
      <c r="H20" s="42"/>
      <c r="I20" s="42"/>
      <c r="J20" s="73">
        <f t="shared" si="1"/>
        <v>5</v>
      </c>
      <c r="K20" s="42"/>
      <c r="L20" s="42"/>
      <c r="M20" s="42"/>
      <c r="N20" s="72">
        <f t="shared" si="5"/>
        <v>0</v>
      </c>
      <c r="O20" s="42"/>
      <c r="P20" s="42"/>
      <c r="Q20" s="42"/>
      <c r="R20" s="72">
        <f t="shared" si="2"/>
        <v>0</v>
      </c>
      <c r="S20" s="47"/>
      <c r="T20" s="47"/>
      <c r="U20" s="47"/>
      <c r="V20" s="72">
        <f t="shared" si="6"/>
        <v>0</v>
      </c>
      <c r="W20" s="16">
        <f t="shared" si="9"/>
        <v>5</v>
      </c>
      <c r="X20" s="16">
        <f t="shared" si="9"/>
        <v>0</v>
      </c>
      <c r="Y20" s="16">
        <f t="shared" si="9"/>
        <v>0</v>
      </c>
      <c r="Z20" s="15">
        <f t="shared" si="8"/>
        <v>5</v>
      </c>
    </row>
    <row r="21" spans="1:26" ht="12.75">
      <c r="A21" s="24">
        <v>16</v>
      </c>
      <c r="B21" s="65" t="s">
        <v>48</v>
      </c>
      <c r="C21" s="73"/>
      <c r="D21" s="42"/>
      <c r="E21" s="42"/>
      <c r="F21" s="72">
        <f t="shared" si="0"/>
        <v>0</v>
      </c>
      <c r="G21" s="73">
        <v>22</v>
      </c>
      <c r="H21" s="42"/>
      <c r="I21" s="42"/>
      <c r="J21" s="73">
        <f t="shared" si="1"/>
        <v>22</v>
      </c>
      <c r="K21" s="42"/>
      <c r="L21" s="42"/>
      <c r="M21" s="42"/>
      <c r="N21" s="72">
        <f t="shared" si="5"/>
        <v>0</v>
      </c>
      <c r="O21" s="42"/>
      <c r="P21" s="42"/>
      <c r="Q21" s="42"/>
      <c r="R21" s="72">
        <f t="shared" si="2"/>
        <v>0</v>
      </c>
      <c r="S21" s="47"/>
      <c r="T21" s="47"/>
      <c r="U21" s="47"/>
      <c r="V21" s="72">
        <f t="shared" si="6"/>
        <v>0</v>
      </c>
      <c r="W21" s="16">
        <f t="shared" si="9"/>
        <v>22</v>
      </c>
      <c r="X21" s="16">
        <f t="shared" si="9"/>
        <v>0</v>
      </c>
      <c r="Y21" s="16">
        <f t="shared" si="9"/>
        <v>0</v>
      </c>
      <c r="Z21" s="15">
        <f t="shared" si="8"/>
        <v>22</v>
      </c>
    </row>
    <row r="22" spans="1:26" ht="12.75">
      <c r="A22" s="24">
        <v>17</v>
      </c>
      <c r="B22" s="65" t="s">
        <v>49</v>
      </c>
      <c r="C22" s="73"/>
      <c r="D22" s="42"/>
      <c r="E22" s="42"/>
      <c r="F22" s="72">
        <f t="shared" si="0"/>
        <v>0</v>
      </c>
      <c r="G22" s="73">
        <v>12</v>
      </c>
      <c r="H22" s="42"/>
      <c r="I22" s="42"/>
      <c r="J22" s="73">
        <f t="shared" si="1"/>
        <v>12</v>
      </c>
      <c r="K22" s="42"/>
      <c r="L22" s="42"/>
      <c r="M22" s="42"/>
      <c r="N22" s="72">
        <f t="shared" si="5"/>
        <v>0</v>
      </c>
      <c r="O22" s="42"/>
      <c r="P22" s="42"/>
      <c r="Q22" s="42"/>
      <c r="R22" s="72">
        <f t="shared" si="2"/>
        <v>0</v>
      </c>
      <c r="S22" s="47"/>
      <c r="T22" s="47"/>
      <c r="U22" s="47"/>
      <c r="V22" s="72">
        <f t="shared" si="6"/>
        <v>0</v>
      </c>
      <c r="W22" s="16">
        <f t="shared" si="9"/>
        <v>12</v>
      </c>
      <c r="X22" s="16">
        <f t="shared" si="9"/>
        <v>0</v>
      </c>
      <c r="Y22" s="16">
        <f t="shared" si="9"/>
        <v>0</v>
      </c>
      <c r="Z22" s="15">
        <f t="shared" si="8"/>
        <v>12</v>
      </c>
    </row>
    <row r="23" spans="1:26" ht="12.75">
      <c r="A23" s="24">
        <v>18</v>
      </c>
      <c r="B23" s="26" t="s">
        <v>58</v>
      </c>
      <c r="C23" s="73"/>
      <c r="D23" s="42"/>
      <c r="E23" s="42"/>
      <c r="F23" s="72">
        <f t="shared" si="0"/>
        <v>0</v>
      </c>
      <c r="G23" s="73"/>
      <c r="H23" s="42"/>
      <c r="I23" s="42"/>
      <c r="J23" s="73">
        <f t="shared" si="1"/>
        <v>0</v>
      </c>
      <c r="K23" s="42"/>
      <c r="L23" s="42"/>
      <c r="M23" s="42"/>
      <c r="N23" s="72">
        <f t="shared" si="5"/>
        <v>0</v>
      </c>
      <c r="O23" s="42"/>
      <c r="P23" s="42"/>
      <c r="Q23" s="42"/>
      <c r="R23" s="72">
        <f t="shared" si="2"/>
        <v>0</v>
      </c>
      <c r="S23" s="47"/>
      <c r="T23" s="47"/>
      <c r="U23" s="47"/>
      <c r="V23" s="72">
        <f t="shared" si="6"/>
        <v>0</v>
      </c>
      <c r="W23" s="16">
        <f aca="true" t="shared" si="10" ref="W23:Y24">C23+G23+K23+O23+S23</f>
        <v>0</v>
      </c>
      <c r="X23" s="16">
        <f t="shared" si="10"/>
        <v>0</v>
      </c>
      <c r="Y23" s="16">
        <f t="shared" si="10"/>
        <v>0</v>
      </c>
      <c r="Z23" s="15">
        <f>W23+X23+Y23</f>
        <v>0</v>
      </c>
    </row>
    <row r="24" spans="1:26" ht="22.5">
      <c r="A24" s="24">
        <v>19</v>
      </c>
      <c r="B24" s="86" t="s">
        <v>59</v>
      </c>
      <c r="C24" s="73"/>
      <c r="D24" s="42"/>
      <c r="E24" s="42"/>
      <c r="F24" s="72">
        <f t="shared" si="0"/>
        <v>0</v>
      </c>
      <c r="G24" s="73"/>
      <c r="H24" s="42"/>
      <c r="I24" s="42"/>
      <c r="J24" s="73">
        <f t="shared" si="1"/>
        <v>0</v>
      </c>
      <c r="K24" s="42"/>
      <c r="L24" s="42"/>
      <c r="M24" s="42"/>
      <c r="N24" s="72">
        <f t="shared" si="5"/>
        <v>0</v>
      </c>
      <c r="O24" s="42"/>
      <c r="P24" s="42"/>
      <c r="Q24" s="42"/>
      <c r="R24" s="72">
        <f t="shared" si="2"/>
        <v>0</v>
      </c>
      <c r="S24" s="47"/>
      <c r="T24" s="47"/>
      <c r="U24" s="47"/>
      <c r="V24" s="72">
        <f t="shared" si="6"/>
        <v>0</v>
      </c>
      <c r="W24" s="16">
        <f t="shared" si="10"/>
        <v>0</v>
      </c>
      <c r="X24" s="16">
        <f t="shared" si="10"/>
        <v>0</v>
      </c>
      <c r="Y24" s="16">
        <f t="shared" si="10"/>
        <v>0</v>
      </c>
      <c r="Z24" s="15">
        <f>W24+X24+Y24</f>
        <v>0</v>
      </c>
    </row>
    <row r="25" spans="1:26" ht="12.75">
      <c r="A25" s="2"/>
      <c r="B25" s="2" t="s">
        <v>5</v>
      </c>
      <c r="C25" s="74">
        <f>SUM(C6:C24)</f>
        <v>0</v>
      </c>
      <c r="D25" s="74">
        <f aca="true" t="shared" si="11" ref="D25:Z25">SUM(D6:D24)</f>
        <v>0</v>
      </c>
      <c r="E25" s="74">
        <f t="shared" si="11"/>
        <v>0</v>
      </c>
      <c r="F25" s="74">
        <f t="shared" si="11"/>
        <v>0</v>
      </c>
      <c r="G25" s="74">
        <f t="shared" si="11"/>
        <v>149</v>
      </c>
      <c r="H25" s="74">
        <f t="shared" si="11"/>
        <v>0</v>
      </c>
      <c r="I25" s="74">
        <f t="shared" si="11"/>
        <v>0</v>
      </c>
      <c r="J25" s="74">
        <f t="shared" si="11"/>
        <v>149</v>
      </c>
      <c r="K25" s="74">
        <f t="shared" si="11"/>
        <v>16</v>
      </c>
      <c r="L25" s="74">
        <f t="shared" si="11"/>
        <v>0</v>
      </c>
      <c r="M25" s="74">
        <f t="shared" si="11"/>
        <v>0</v>
      </c>
      <c r="N25" s="74">
        <f t="shared" si="11"/>
        <v>16</v>
      </c>
      <c r="O25" s="74">
        <f t="shared" si="11"/>
        <v>225</v>
      </c>
      <c r="P25" s="74">
        <f t="shared" si="11"/>
        <v>0</v>
      </c>
      <c r="Q25" s="74">
        <f t="shared" si="11"/>
        <v>0</v>
      </c>
      <c r="R25" s="74">
        <f t="shared" si="11"/>
        <v>225</v>
      </c>
      <c r="S25" s="74">
        <f t="shared" si="11"/>
        <v>108</v>
      </c>
      <c r="T25" s="74">
        <f t="shared" si="11"/>
        <v>0</v>
      </c>
      <c r="U25" s="74">
        <f t="shared" si="11"/>
        <v>0</v>
      </c>
      <c r="V25" s="74">
        <f t="shared" si="11"/>
        <v>108</v>
      </c>
      <c r="W25" s="74">
        <f t="shared" si="11"/>
        <v>498</v>
      </c>
      <c r="X25" s="74">
        <f t="shared" si="11"/>
        <v>0</v>
      </c>
      <c r="Y25" s="74">
        <f t="shared" si="11"/>
        <v>0</v>
      </c>
      <c r="Z25" s="74">
        <f t="shared" si="11"/>
        <v>498</v>
      </c>
    </row>
    <row r="28" spans="2:3" ht="15.75">
      <c r="B28" s="12" t="s">
        <v>14</v>
      </c>
      <c r="C28" s="1">
        <f>Z25</f>
        <v>498</v>
      </c>
    </row>
    <row r="29" spans="2:3" ht="31.5">
      <c r="B29" s="12" t="s">
        <v>15</v>
      </c>
      <c r="C29" s="1"/>
    </row>
    <row r="30" spans="2:3" ht="47.25">
      <c r="B30" s="12" t="s">
        <v>16</v>
      </c>
      <c r="C30" s="1"/>
    </row>
    <row r="31" spans="2:3" ht="15.75">
      <c r="B31" s="12" t="s">
        <v>17</v>
      </c>
      <c r="C31" s="1"/>
    </row>
    <row r="33" spans="2:3" ht="14.25">
      <c r="B33" s="17" t="s">
        <v>18</v>
      </c>
      <c r="C33" s="1">
        <v>832</v>
      </c>
    </row>
    <row r="34" spans="2:3" ht="28.5">
      <c r="B34" s="17" t="s">
        <v>19</v>
      </c>
      <c r="C34" s="1"/>
    </row>
    <row r="35" spans="2:3" ht="28.5">
      <c r="B35" s="17" t="s">
        <v>20</v>
      </c>
      <c r="C35" s="1">
        <v>0</v>
      </c>
    </row>
    <row r="36" spans="2:3" ht="14.25">
      <c r="B36" s="17" t="s">
        <v>21</v>
      </c>
      <c r="C36" s="1">
        <v>0</v>
      </c>
    </row>
    <row r="37" spans="2:3" ht="28.5">
      <c r="B37" s="17" t="s">
        <v>22</v>
      </c>
      <c r="C37" s="1">
        <v>0</v>
      </c>
    </row>
    <row r="38" spans="2:3" ht="28.5">
      <c r="B38" s="17" t="s">
        <v>23</v>
      </c>
      <c r="C38" s="1">
        <v>0</v>
      </c>
    </row>
  </sheetData>
  <sheetProtection/>
  <mergeCells count="4">
    <mergeCell ref="A1:Z1"/>
    <mergeCell ref="A2:Z2"/>
    <mergeCell ref="B3:B4"/>
    <mergeCell ref="A5:Z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TS-Technology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Centre</dc:creator>
  <cp:keywords/>
  <dc:description/>
  <cp:lastModifiedBy>hp</cp:lastModifiedBy>
  <cp:lastPrinted>2019-12-02T09:33:21Z</cp:lastPrinted>
  <dcterms:created xsi:type="dcterms:W3CDTF">2000-10-24T05:10:12Z</dcterms:created>
  <dcterms:modified xsi:type="dcterms:W3CDTF">2023-11-03T03:31:54Z</dcterms:modified>
  <cp:category/>
  <cp:version/>
  <cp:contentType/>
  <cp:contentStatus/>
</cp:coreProperties>
</file>