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контингент" sheetId="1" r:id="rId1"/>
    <sheet name="Byudjet" sheetId="2" r:id="rId2"/>
    <sheet name="Kontrakt" sheetId="3" r:id="rId3"/>
    <sheet name="qizlar" sheetId="4" r:id="rId4"/>
  </sheets>
  <definedNames>
    <definedName name="_xlnm.Print_Area" localSheetId="1">'Byudjet'!$A$1:$AA$59</definedName>
    <definedName name="_xlnm.Print_Area" localSheetId="2">'Kontrakt'!$A$1:$AA$59</definedName>
    <definedName name="_xlnm.Print_Area" localSheetId="0">'контингент'!$A$1:$AH$61</definedName>
  </definedNames>
  <calcPr fullCalcOnLoad="1"/>
</workbook>
</file>

<file path=xl/sharedStrings.xml><?xml version="1.0" encoding="utf-8"?>
<sst xmlns="http://schemas.openxmlformats.org/spreadsheetml/2006/main" count="358" uniqueCount="73">
  <si>
    <t>Ф-т,мутахассислик номи</t>
  </si>
  <si>
    <t>4 курс</t>
  </si>
  <si>
    <t>узб.</t>
  </si>
  <si>
    <t>рус.</t>
  </si>
  <si>
    <t>тож.</t>
  </si>
  <si>
    <t>Жами</t>
  </si>
  <si>
    <t>рус</t>
  </si>
  <si>
    <t>тож</t>
  </si>
  <si>
    <t>узб</t>
  </si>
  <si>
    <t>2 курс</t>
  </si>
  <si>
    <t>3 курс</t>
  </si>
  <si>
    <t>Тарих</t>
  </si>
  <si>
    <t>Биология</t>
  </si>
  <si>
    <t>Жисмоний маданият</t>
  </si>
  <si>
    <t>САМАРКАНД ДАВЛАТ УНИВЕРСИТЕТИ СИРТҚИ қизлар СОНИ</t>
  </si>
  <si>
    <t>Гуманитар</t>
  </si>
  <si>
    <t>Ишлаб чикариш ва техник соҳа</t>
  </si>
  <si>
    <t>Кишлок ва сув хужалиги</t>
  </si>
  <si>
    <t>Хизматлар</t>
  </si>
  <si>
    <t>Ижтимоий соҳа, иқтисод ваҳуқуқ</t>
  </si>
  <si>
    <t>Соғлиқни сақлаш ва ижтимоий таъминот</t>
  </si>
  <si>
    <t>Филология ва тилларни ўқитиш:: ўзбек тили</t>
  </si>
  <si>
    <t>Бошланғич таълим ва спорт-тарбиявий иш</t>
  </si>
  <si>
    <t>Информатика ўқитиш методикаси</t>
  </si>
  <si>
    <t>Биология (турлари бўйича)</t>
  </si>
  <si>
    <t>1 курс</t>
  </si>
  <si>
    <t>Кадрлар менежменти</t>
  </si>
  <si>
    <t>Мусиқа таълими</t>
  </si>
  <si>
    <t>Мактабгача таълим</t>
  </si>
  <si>
    <t xml:space="preserve"> сиртқи</t>
  </si>
  <si>
    <t>САМАРКАНД ДАВЛАТ УНИВЕРСИТЕТИ СИРТҚИ ТАЛАБАЛАРИ СОНИ</t>
  </si>
  <si>
    <t>Гуманитар фанлар</t>
  </si>
  <si>
    <t>Хаёт хакидаги фан</t>
  </si>
  <si>
    <t>ижтимоий таъминот</t>
  </si>
  <si>
    <t>сиртқи буйича</t>
  </si>
  <si>
    <t>Тасвирий санъат ва муҳандислик графикаси</t>
  </si>
  <si>
    <t>Технологик таълим</t>
  </si>
  <si>
    <t>Психология: амалий психология</t>
  </si>
  <si>
    <t>САМАРКАНД ДАВЛАТ УНИВЕРСИТЕТИ СИРТҚИ БЮДЖЕТ ТАЛАБАЛАРИ СОНИ</t>
  </si>
  <si>
    <t>САМАРКАНД ДАВЛАТ УНИВЕРСИТЕТИ СИРТҚИ КОНТРАКТ  ТАЛАБАЛАРИ СОНИ</t>
  </si>
  <si>
    <t>География</t>
  </si>
  <si>
    <t>Шифри</t>
  </si>
  <si>
    <t>ижтимоий фанлар</t>
  </si>
  <si>
    <t>Бизнес бошқарув</t>
  </si>
  <si>
    <t>Табиий фанлар</t>
  </si>
  <si>
    <t>Фан</t>
  </si>
  <si>
    <t>Ишлаб чиқариш ва тех,соҳа</t>
  </si>
  <si>
    <t>Таълим ўқитувчилар тайёрлаш ва педагогик фанлар</t>
  </si>
  <si>
    <t>Математика ва информатика</t>
  </si>
  <si>
    <t>География ва иқтисодий билим асослари</t>
  </si>
  <si>
    <t>Бошланғич таълим</t>
  </si>
  <si>
    <t>Математика</t>
  </si>
  <si>
    <t>Иқтисодиёт (тармоқлар ва соҳалар бўйича)</t>
  </si>
  <si>
    <t>Инсон ресурсларини бошқариш</t>
  </si>
  <si>
    <t>Ижтимоий иш</t>
  </si>
  <si>
    <t>Yurisprudensiya (faoliyat turlari bo‘yicha)</t>
  </si>
  <si>
    <t>Ижтимоий соҳа, иқтисод ва ҳуқуқ</t>
  </si>
  <si>
    <t>Ҳуқуқ</t>
  </si>
  <si>
    <t xml:space="preserve">Таълим ўқитувчилар тайёрлаш </t>
  </si>
  <si>
    <t>5 курс</t>
  </si>
  <si>
    <t>Филология ва тилларни ўқитиш: рус тили</t>
  </si>
  <si>
    <t>Филология ва тилларни ўқитиш: тожик тили</t>
  </si>
  <si>
    <t>Рақамли иқтисодиёт (тармоқлар ва соҳалар бўйича)</t>
  </si>
  <si>
    <t>Амалий математика</t>
  </si>
  <si>
    <t>Зооинженерия: балиқчилик</t>
  </si>
  <si>
    <t>Мевачилик ва узумчилик</t>
  </si>
  <si>
    <t>Сабзавотчилик, полизчилик ва картошкачилик</t>
  </si>
  <si>
    <t>Иссиқхона хўжалигини ташкил этиш ва юритиш</t>
  </si>
  <si>
    <t>Қишлоқ ва сув хўжалиги</t>
  </si>
  <si>
    <t>СИРТҚИ (МАХСУС СИРТҚИ)</t>
  </si>
  <si>
    <t>АГРОБИОТЕХНОЛОГИЯЛАР ВА ОЗИҚ-ОВҚАТ ХАВФСИЗЛИГИ ИНСТИТУТИ:</t>
  </si>
  <si>
    <t>Курсдан колган</t>
  </si>
  <si>
    <t>01.11.2023 йил холати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</si>
</sst>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сўм&quot;;\-#,##0\ &quot;сўм&quot;"/>
    <numFmt numFmtId="181" formatCode="#,##0\ &quot;сўм&quot;;[Red]\-#,##0\ &quot;сўм&quot;"/>
    <numFmt numFmtId="182" formatCode="#,##0.00\ &quot;сўм&quot;;\-#,##0.00\ &quot;сўм&quot;"/>
    <numFmt numFmtId="183" formatCode="#,##0.00\ &quot;сўм&quot;;[Red]\-#,##0.00\ &quot;сўм&quot;"/>
    <numFmt numFmtId="184" formatCode="_-* #,##0\ &quot;сўм&quot;_-;\-* #,##0\ &quot;сўм&quot;_-;_-* &quot;-&quot;\ &quot;сўм&quot;_-;_-@_-"/>
    <numFmt numFmtId="185" formatCode="_-* #,##0\ _с_ў_м_-;\-* #,##0\ _с_ў_м_-;_-* &quot;-&quot;\ _с_ў_м_-;_-@_-"/>
    <numFmt numFmtId="186" formatCode="_-* #,##0.00\ &quot;сўм&quot;_-;\-* #,##0.00\ &quot;сўм&quot;_-;_-* &quot;-&quot;??\ &quot;сўм&quot;_-;_-@_-"/>
    <numFmt numFmtId="187" formatCode="_-* #,##0.00\ _с_ў_м_-;\-* #,##0.00\ _с_ў_м_-;_-* &quot;-&quot;??\ _с_ў_м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0"/>
      <color indexed="8"/>
      <name val="Arial Cyr"/>
      <family val="2"/>
    </font>
    <font>
      <b/>
      <sz val="12"/>
      <name val="Arial Cyr"/>
      <family val="2"/>
    </font>
    <font>
      <sz val="10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2"/>
    </font>
    <font>
      <b/>
      <i/>
      <sz val="8"/>
      <name val="Arial"/>
      <family val="2"/>
    </font>
    <font>
      <b/>
      <i/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8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Arial Cyr"/>
      <family val="0"/>
    </font>
    <font>
      <b/>
      <sz val="8"/>
      <color rgb="FFFF0000"/>
      <name val="Arial Cyr"/>
      <family val="0"/>
    </font>
    <font>
      <sz val="8"/>
      <color rgb="FF0070C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0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8" fillId="33" borderId="15" xfId="0" applyFont="1" applyFill="1" applyBorder="1" applyAlignment="1">
      <alignment horizontal="center"/>
    </xf>
    <xf numFmtId="0" fontId="9" fillId="33" borderId="15" xfId="0" applyFont="1" applyFill="1" applyBorder="1" applyAlignment="1">
      <alignment/>
    </xf>
    <xf numFmtId="0" fontId="10" fillId="0" borderId="15" xfId="0" applyFont="1" applyBorder="1" applyAlignment="1">
      <alignment vertical="center"/>
    </xf>
    <xf numFmtId="0" fontId="11" fillId="0" borderId="15" xfId="0" applyFont="1" applyFill="1" applyBorder="1" applyAlignment="1">
      <alignment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5" xfId="0" applyFont="1" applyBorder="1" applyAlignment="1">
      <alignment vertical="center" wrapText="1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60" fillId="35" borderId="0" xfId="0" applyFont="1" applyFill="1" applyAlignment="1">
      <alignment/>
    </xf>
    <xf numFmtId="0" fontId="60" fillId="35" borderId="0" xfId="0" applyFont="1" applyFill="1" applyAlignment="1">
      <alignment horizontal="center"/>
    </xf>
    <xf numFmtId="0" fontId="6" fillId="35" borderId="0" xfId="0" applyFont="1" applyFill="1" applyAlignment="1">
      <alignment/>
    </xf>
    <xf numFmtId="0" fontId="8" fillId="19" borderId="15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34" borderId="15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7" fillId="34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3" fillId="0" borderId="15" xfId="0" applyFont="1" applyBorder="1" applyAlignment="1">
      <alignment vertical="center"/>
    </xf>
    <xf numFmtId="0" fontId="8" fillId="19" borderId="15" xfId="0" applyFont="1" applyFill="1" applyBorder="1" applyAlignment="1">
      <alignment/>
    </xf>
    <xf numFmtId="0" fontId="15" fillId="33" borderId="15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6" fillId="0" borderId="15" xfId="0" applyFont="1" applyBorder="1" applyAlignment="1">
      <alignment vertical="center" wrapText="1"/>
    </xf>
    <xf numFmtId="0" fontId="16" fillId="34" borderId="15" xfId="0" applyFont="1" applyFill="1" applyBorder="1" applyAlignment="1">
      <alignment horizontal="center"/>
    </xf>
    <xf numFmtId="0" fontId="16" fillId="34" borderId="15" xfId="0" applyFont="1" applyFill="1" applyBorder="1" applyAlignment="1">
      <alignment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left" vertical="center" wrapText="1"/>
    </xf>
    <xf numFmtId="0" fontId="16" fillId="16" borderId="15" xfId="0" applyFont="1" applyFill="1" applyBorder="1" applyAlignment="1">
      <alignment horizontal="center" vertical="center" wrapText="1"/>
    </xf>
    <xf numFmtId="0" fontId="61" fillId="16" borderId="15" xfId="0" applyFont="1" applyFill="1" applyBorder="1" applyAlignment="1">
      <alignment horizontal="center" vertical="center" wrapText="1"/>
    </xf>
    <xf numFmtId="0" fontId="62" fillId="16" borderId="15" xfId="0" applyFont="1" applyFill="1" applyBorder="1" applyAlignment="1">
      <alignment horizontal="center" vertical="center" wrapText="1"/>
    </xf>
    <xf numFmtId="0" fontId="63" fillId="19" borderId="15" xfId="0" applyFont="1" applyFill="1" applyBorder="1" applyAlignment="1">
      <alignment horizontal="center"/>
    </xf>
    <xf numFmtId="0" fontId="7" fillId="19" borderId="15" xfId="0" applyFont="1" applyFill="1" applyBorder="1" applyAlignment="1">
      <alignment horizontal="center" vertical="center"/>
    </xf>
    <xf numFmtId="0" fontId="16" fillId="8" borderId="15" xfId="0" applyFont="1" applyFill="1" applyBorder="1" applyAlignment="1">
      <alignment horizontal="left"/>
    </xf>
    <xf numFmtId="0" fontId="16" fillId="8" borderId="15" xfId="0" applyFont="1" applyFill="1" applyBorder="1" applyAlignment="1">
      <alignment vertical="center" wrapText="1"/>
    </xf>
    <xf numFmtId="0" fontId="16" fillId="8" borderId="15" xfId="0" applyFont="1" applyFill="1" applyBorder="1" applyAlignment="1">
      <alignment horizontal="left" vertical="center" wrapText="1"/>
    </xf>
    <xf numFmtId="0" fontId="16" fillId="19" borderId="15" xfId="0" applyFont="1" applyFill="1" applyBorder="1" applyAlignment="1">
      <alignment horizontal="center" vertical="center"/>
    </xf>
    <xf numFmtId="0" fontId="17" fillId="8" borderId="15" xfId="0" applyFont="1" applyFill="1" applyBorder="1" applyAlignment="1">
      <alignment horizontal="left"/>
    </xf>
    <xf numFmtId="0" fontId="64" fillId="34" borderId="15" xfId="0" applyFont="1" applyFill="1" applyBorder="1" applyAlignment="1">
      <alignment/>
    </xf>
    <xf numFmtId="0" fontId="18" fillId="18" borderId="15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/>
    </xf>
    <xf numFmtId="0" fontId="8" fillId="36" borderId="15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/>
    </xf>
    <xf numFmtId="0" fontId="19" fillId="36" borderId="15" xfId="0" applyFont="1" applyFill="1" applyBorder="1" applyAlignment="1">
      <alignment horizontal="center"/>
    </xf>
    <xf numFmtId="0" fontId="19" fillId="36" borderId="15" xfId="0" applyFont="1" applyFill="1" applyBorder="1" applyAlignment="1">
      <alignment horizontal="left"/>
    </xf>
    <xf numFmtId="0" fontId="8" fillId="36" borderId="15" xfId="0" applyFont="1" applyFill="1" applyBorder="1" applyAlignment="1">
      <alignment horizontal="center"/>
    </xf>
    <xf numFmtId="0" fontId="15" fillId="36" borderId="15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center"/>
    </xf>
    <xf numFmtId="0" fontId="4" fillId="36" borderId="15" xfId="0" applyFont="1" applyFill="1" applyBorder="1" applyAlignment="1">
      <alignment/>
    </xf>
    <xf numFmtId="0" fontId="3" fillId="36" borderId="15" xfId="0" applyFont="1" applyFill="1" applyBorder="1" applyAlignment="1">
      <alignment horizont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3" fillId="36" borderId="15" xfId="0" applyFont="1" applyFill="1" applyBorder="1" applyAlignment="1">
      <alignment horizont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65" fillId="34" borderId="15" xfId="0" applyFont="1" applyFill="1" applyBorder="1" applyAlignment="1">
      <alignment/>
    </xf>
    <xf numFmtId="0" fontId="3" fillId="36" borderId="15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19" fillId="36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9" fillId="36" borderId="30" xfId="0" applyFont="1" applyFill="1" applyBorder="1" applyAlignment="1">
      <alignment horizontal="center" vertical="center" wrapText="1"/>
    </xf>
    <xf numFmtId="0" fontId="19" fillId="36" borderId="16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33" borderId="15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9"/>
  <sheetViews>
    <sheetView tabSelected="1" view="pageBreakPreview" zoomScaleSheetLayoutView="100" zoomScalePageLayoutView="0" workbookViewId="0" topLeftCell="A1">
      <pane xSplit="4" ySplit="4" topLeftCell="E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G40" sqref="AG40"/>
    </sheetView>
  </sheetViews>
  <sheetFormatPr defaultColWidth="9.00390625" defaultRowHeight="12.75"/>
  <cols>
    <col min="1" max="1" width="3.00390625" style="0" customWidth="1"/>
    <col min="2" max="2" width="17.375" style="0" hidden="1" customWidth="1"/>
    <col min="3" max="3" width="9.00390625" style="46" bestFit="1" customWidth="1"/>
    <col min="4" max="4" width="35.25390625" style="0" bestFit="1" customWidth="1"/>
    <col min="5" max="5" width="5.00390625" style="0" bestFit="1" customWidth="1"/>
    <col min="6" max="6" width="3.375" style="0" customWidth="1"/>
    <col min="7" max="7" width="4.00390625" style="0" customWidth="1"/>
    <col min="8" max="8" width="7.00390625" style="0" customWidth="1"/>
    <col min="9" max="9" width="5.625" style="0" customWidth="1"/>
    <col min="10" max="10" width="5.75390625" style="0" customWidth="1"/>
    <col min="11" max="11" width="3.375" style="0" customWidth="1"/>
    <col min="12" max="12" width="4.00390625" style="0" customWidth="1"/>
    <col min="13" max="13" width="8.625" style="0" customWidth="1"/>
    <col min="14" max="14" width="5.625" style="0" customWidth="1"/>
    <col min="15" max="16" width="5.875" style="0" bestFit="1" customWidth="1"/>
    <col min="17" max="17" width="3.875" style="0" customWidth="1"/>
    <col min="18" max="18" width="11.375" style="0" customWidth="1"/>
    <col min="19" max="19" width="5.25390625" style="0" customWidth="1"/>
    <col min="20" max="20" width="5.00390625" style="0" bestFit="1" customWidth="1"/>
    <col min="21" max="22" width="3.75390625" style="0" customWidth="1"/>
    <col min="23" max="23" width="9.375" style="0" customWidth="1"/>
    <col min="24" max="24" width="5.625" style="0" customWidth="1"/>
    <col min="25" max="25" width="5.00390625" style="0" bestFit="1" customWidth="1"/>
    <col min="26" max="27" width="3.75390625" style="0" customWidth="1"/>
    <col min="28" max="28" width="7.875" style="0" customWidth="1"/>
    <col min="29" max="29" width="5.625" style="0" customWidth="1"/>
    <col min="30" max="30" width="5.75390625" style="0" customWidth="1"/>
    <col min="31" max="31" width="4.125" style="0" customWidth="1"/>
    <col min="32" max="32" width="4.25390625" style="0" customWidth="1"/>
    <col min="33" max="33" width="10.625" style="0" customWidth="1"/>
    <col min="34" max="34" width="6.00390625" style="0" customWidth="1"/>
    <col min="35" max="35" width="18.75390625" style="0" bestFit="1" customWidth="1"/>
    <col min="36" max="36" width="9.125" style="1" customWidth="1"/>
  </cols>
  <sheetData>
    <row r="1" spans="1:34" ht="29.25" customHeight="1">
      <c r="A1" s="91" t="s">
        <v>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ht="16.5" thickBot="1">
      <c r="A2" s="92" t="s">
        <v>72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</row>
    <row r="3" spans="1:36" s="7" customFormat="1" ht="12.75">
      <c r="A3" s="74"/>
      <c r="B3" s="75"/>
      <c r="C3" s="96" t="s">
        <v>41</v>
      </c>
      <c r="D3" s="94" t="s">
        <v>0</v>
      </c>
      <c r="E3" s="76"/>
      <c r="F3" s="77" t="s">
        <v>25</v>
      </c>
      <c r="G3" s="75"/>
      <c r="H3" s="98" t="s">
        <v>71</v>
      </c>
      <c r="I3" s="78"/>
      <c r="J3" s="76"/>
      <c r="K3" s="77" t="s">
        <v>9</v>
      </c>
      <c r="L3" s="75"/>
      <c r="M3" s="100" t="s">
        <v>71</v>
      </c>
      <c r="N3" s="78"/>
      <c r="O3" s="76"/>
      <c r="P3" s="77" t="s">
        <v>10</v>
      </c>
      <c r="Q3" s="75"/>
      <c r="R3" s="100" t="s">
        <v>71</v>
      </c>
      <c r="S3" s="78"/>
      <c r="T3" s="76"/>
      <c r="U3" s="77" t="s">
        <v>1</v>
      </c>
      <c r="V3" s="75"/>
      <c r="W3" s="100" t="s">
        <v>71</v>
      </c>
      <c r="X3" s="78"/>
      <c r="Y3" s="76"/>
      <c r="Z3" s="77" t="s">
        <v>59</v>
      </c>
      <c r="AA3" s="75"/>
      <c r="AB3" s="100" t="s">
        <v>71</v>
      </c>
      <c r="AC3" s="78"/>
      <c r="AD3" s="76"/>
      <c r="AE3" s="77" t="s">
        <v>5</v>
      </c>
      <c r="AF3" s="75"/>
      <c r="AG3" s="100" t="s">
        <v>71</v>
      </c>
      <c r="AH3" s="79"/>
      <c r="AJ3" s="9"/>
    </row>
    <row r="4" spans="1:36" s="7" customFormat="1" ht="13.5" thickBot="1">
      <c r="A4" s="80"/>
      <c r="B4" s="81"/>
      <c r="C4" s="97"/>
      <c r="D4" s="95"/>
      <c r="E4" s="82" t="s">
        <v>2</v>
      </c>
      <c r="F4" s="82" t="s">
        <v>6</v>
      </c>
      <c r="G4" s="85" t="s">
        <v>4</v>
      </c>
      <c r="H4" s="98"/>
      <c r="I4" s="86" t="s">
        <v>5</v>
      </c>
      <c r="J4" s="82" t="s">
        <v>2</v>
      </c>
      <c r="K4" s="82" t="s">
        <v>6</v>
      </c>
      <c r="L4" s="82" t="s">
        <v>4</v>
      </c>
      <c r="M4" s="101"/>
      <c r="N4" s="82" t="s">
        <v>5</v>
      </c>
      <c r="O4" s="82" t="s">
        <v>8</v>
      </c>
      <c r="P4" s="82" t="s">
        <v>6</v>
      </c>
      <c r="Q4" s="82" t="s">
        <v>7</v>
      </c>
      <c r="R4" s="101"/>
      <c r="S4" s="82" t="s">
        <v>5</v>
      </c>
      <c r="T4" s="82" t="s">
        <v>2</v>
      </c>
      <c r="U4" s="82" t="s">
        <v>6</v>
      </c>
      <c r="V4" s="82" t="s">
        <v>7</v>
      </c>
      <c r="W4" s="101"/>
      <c r="X4" s="82" t="s">
        <v>5</v>
      </c>
      <c r="Y4" s="82" t="s">
        <v>2</v>
      </c>
      <c r="Z4" s="82" t="s">
        <v>6</v>
      </c>
      <c r="AA4" s="82" t="s">
        <v>7</v>
      </c>
      <c r="AB4" s="101"/>
      <c r="AC4" s="82" t="s">
        <v>5</v>
      </c>
      <c r="AD4" s="82" t="s">
        <v>2</v>
      </c>
      <c r="AE4" s="82" t="s">
        <v>3</v>
      </c>
      <c r="AF4" s="82" t="s">
        <v>4</v>
      </c>
      <c r="AG4" s="101"/>
      <c r="AH4" s="83" t="s">
        <v>5</v>
      </c>
      <c r="AJ4" s="9"/>
    </row>
    <row r="5" spans="1:34" ht="12.75">
      <c r="A5" s="93" t="s">
        <v>29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</row>
    <row r="6" spans="1:34" ht="12.75">
      <c r="A6" s="66"/>
      <c r="B6" s="66"/>
      <c r="C6" s="99" t="s">
        <v>69</v>
      </c>
      <c r="D6" s="99"/>
      <c r="E6" s="66">
        <f>+E7+E8+E9+E10+E11+E12+E13+E14+E15+E16+E17+E18+E19+E20+E21+E22+E23+E24+E25+E26+E27+E28+E29+E30+E32+E33+E34+E31</f>
        <v>348</v>
      </c>
      <c r="F6" s="66">
        <f aca="true" t="shared" si="0" ref="F6:AH6">+F7+F8+F9+F10+F11+F12+F13+F14+F15+F16+F17+F18+F19+F20+F21+F22+F23+F24+F25+F26+F27+F28+F29+F30+F32+F33+F34+F31</f>
        <v>0</v>
      </c>
      <c r="G6" s="66">
        <f t="shared" si="0"/>
        <v>0</v>
      </c>
      <c r="H6" s="84">
        <f t="shared" si="0"/>
        <v>22</v>
      </c>
      <c r="I6" s="66">
        <f>+I7+I8+I9+I10+I11+I12+I13+I14+I15+I16+I17+I18+I19+I20+I21+I22+I23+I24+I25+I26+I27+I28+I29+I30+I32+I33+I34+I31</f>
        <v>348</v>
      </c>
      <c r="J6" s="66">
        <f t="shared" si="0"/>
        <v>224</v>
      </c>
      <c r="K6" s="66">
        <f t="shared" si="0"/>
        <v>39</v>
      </c>
      <c r="L6" s="66">
        <f t="shared" si="0"/>
        <v>16</v>
      </c>
      <c r="M6" s="73">
        <f>+M7+M8+M9+M10+M11+M12+M13+M14+M15+M16+M17+M18+M19+M20+M21+M22+M23+M24+M25+M26+M27+M28+M29+M30+M32+M33+M34+M31</f>
        <v>8</v>
      </c>
      <c r="N6" s="73">
        <f t="shared" si="0"/>
        <v>279</v>
      </c>
      <c r="O6" s="73">
        <f t="shared" si="0"/>
        <v>496</v>
      </c>
      <c r="P6" s="73">
        <f t="shared" si="0"/>
        <v>0</v>
      </c>
      <c r="Q6" s="73">
        <f t="shared" si="0"/>
        <v>0</v>
      </c>
      <c r="R6" s="73">
        <f t="shared" si="0"/>
        <v>18</v>
      </c>
      <c r="S6" s="73">
        <f t="shared" si="0"/>
        <v>496</v>
      </c>
      <c r="T6" s="73">
        <f>+T7+T8+T9+T10+T11+T12+T13+T14+T15+T16+T17+T18+T19+T20+T21+T22+T23+T24+T25+T26+T27+T28+T29+T30+T32+T33+T34+T31</f>
        <v>4003</v>
      </c>
      <c r="U6" s="88">
        <f>+U7+U8+U9+U10+U11+U12+U13+U14+U15+U16+U17+U18+U19+U20+U21+U22+U23+U24+U25+U26+U27+U28+U29+U30+U32+U33+U34+U31</f>
        <v>113</v>
      </c>
      <c r="V6" s="88">
        <f>+V7+V8+V9+V10+V11+V12+V13+V14+V15+V16+V17+V18+V19+V20+V21+V22+V23+V24+V25+V26+V27+V28+V29+V30+V32+V33+V34+V31</f>
        <v>0</v>
      </c>
      <c r="W6" s="88">
        <f>+W7+W8+W9+W10+W11+W12+W13+W14+W15+W16+W17+W18+W19+W20+W21+W22+W23+W24+W25+W26+W27+W28+W29+W30+W32+W33+W34+W31</f>
        <v>6</v>
      </c>
      <c r="X6" s="88">
        <f>+X7+X8+X9+X10+X11+X12+X13+X14+X15+X16+X17+X18+X19+X20+X21+X22+X23+X24+X25+X26+X27+X28+X29+X30+X32+X33+X34+X31</f>
        <v>4116</v>
      </c>
      <c r="Y6" s="73">
        <f t="shared" si="0"/>
        <v>1848</v>
      </c>
      <c r="Z6" s="73">
        <f t="shared" si="0"/>
        <v>54</v>
      </c>
      <c r="AA6" s="73">
        <f t="shared" si="0"/>
        <v>0</v>
      </c>
      <c r="AB6" s="73">
        <f t="shared" si="0"/>
        <v>0</v>
      </c>
      <c r="AC6" s="73">
        <f t="shared" si="0"/>
        <v>1902</v>
      </c>
      <c r="AD6" s="73">
        <f t="shared" si="0"/>
        <v>6919</v>
      </c>
      <c r="AE6" s="73">
        <f t="shared" si="0"/>
        <v>206</v>
      </c>
      <c r="AF6" s="73">
        <f t="shared" si="0"/>
        <v>16</v>
      </c>
      <c r="AG6" s="73">
        <f t="shared" si="0"/>
        <v>54</v>
      </c>
      <c r="AH6" s="73">
        <f t="shared" si="0"/>
        <v>7141</v>
      </c>
    </row>
    <row r="7" spans="1:36" s="33" customFormat="1" ht="12.75">
      <c r="A7" s="48">
        <v>1</v>
      </c>
      <c r="B7" s="57" t="s">
        <v>43</v>
      </c>
      <c r="C7" s="52">
        <v>60230600</v>
      </c>
      <c r="D7" s="51" t="s">
        <v>52</v>
      </c>
      <c r="E7" s="38">
        <f>1+3+4+9+1+4+7</f>
        <v>29</v>
      </c>
      <c r="F7" s="38"/>
      <c r="G7" s="38"/>
      <c r="H7" s="38"/>
      <c r="I7" s="44">
        <f aca="true" t="shared" si="1" ref="I7:I29">E7+F7+G7</f>
        <v>29</v>
      </c>
      <c r="J7" s="38">
        <f>8+3+12+1+1+6-1+1+1+2+1-7+1+1-4+4</f>
        <v>30</v>
      </c>
      <c r="K7" s="38"/>
      <c r="L7" s="38"/>
      <c r="M7" s="38"/>
      <c r="N7" s="44">
        <f aca="true" t="shared" si="2" ref="N7:N13">J7+K7+L7</f>
        <v>30</v>
      </c>
      <c r="O7" s="38">
        <f>4+16+4+3+2+1+4+2+1+2+1+1+1-1+1-1+2-4-1+2-1+1+1+1-2-1+1-4+14</f>
        <v>50</v>
      </c>
      <c r="P7" s="38"/>
      <c r="Q7" s="38"/>
      <c r="R7" s="38"/>
      <c r="S7" s="36">
        <f aca="true" t="shared" si="3" ref="S7:S13">O7+P7+Q7</f>
        <v>50</v>
      </c>
      <c r="T7" s="39">
        <f>3+2+22+1+1+2+1+10-2+3+1+1+1+17+6+42+5+36+2+2+23+1-2-1+2+1-1-1+5-2+1-1+11-3-1+1-1-1-1+2-10-3+1-1-1+1-1-19-1+12-4+4+1+1+1+2-1-1+9+2-1-1+1-1+1+1+1-1-8+1+2-2-3+1-1-6+1-1-15+1+3</f>
        <v>153</v>
      </c>
      <c r="U7" s="38"/>
      <c r="V7" s="38"/>
      <c r="W7" s="40"/>
      <c r="X7" s="36">
        <f aca="true" t="shared" si="4" ref="X7:X13">T7+U7+V7</f>
        <v>153</v>
      </c>
      <c r="Y7" s="39">
        <f>7+1+1+15+9+2+3+3+6+2+1-3+2-1+64+10-1+14-1-1+12-1+10+2-1+5+1+3+5+5-1+5-1+3+1+1-1-1+2-1+1-2-1+3-42+50+1-23+26+1-1-3+1-2-1-1-1-1+1-16-2-1-4-2-2-2+1-9+3+1-2+1-1-1-7+1-1-2-1-1+1</f>
        <v>141</v>
      </c>
      <c r="Z7" s="38"/>
      <c r="AA7" s="38"/>
      <c r="AB7" s="40"/>
      <c r="AC7" s="36">
        <f aca="true" t="shared" si="5" ref="AC7:AC29">Y7+Z7+AA7</f>
        <v>141</v>
      </c>
      <c r="AD7" s="40">
        <f>J7+O7+T7+E7+Y7</f>
        <v>403</v>
      </c>
      <c r="AE7" s="40">
        <f aca="true" t="shared" si="6" ref="AE7:AE30">K7+P7+U7+F7+Z7</f>
        <v>0</v>
      </c>
      <c r="AF7" s="40">
        <f aca="true" t="shared" si="7" ref="AF7:AF30">L7+Q7+V7+G7+AA7</f>
        <v>0</v>
      </c>
      <c r="AG7" s="40">
        <f>+AB7+W7+R7+M7+H7</f>
        <v>0</v>
      </c>
      <c r="AH7" s="36">
        <f>AD7+AE7+AF7</f>
        <v>403</v>
      </c>
      <c r="AJ7" s="34"/>
    </row>
    <row r="8" spans="1:36" s="31" customFormat="1" ht="12.75">
      <c r="A8" s="48">
        <v>2</v>
      </c>
      <c r="B8" s="57" t="s">
        <v>42</v>
      </c>
      <c r="C8" s="89">
        <v>60530400</v>
      </c>
      <c r="D8" s="89" t="s">
        <v>40</v>
      </c>
      <c r="E8" s="38">
        <f>11+18+24</f>
        <v>53</v>
      </c>
      <c r="F8" s="38"/>
      <c r="G8" s="38"/>
      <c r="H8" s="38"/>
      <c r="I8" s="44">
        <f t="shared" si="1"/>
        <v>53</v>
      </c>
      <c r="J8" s="38"/>
      <c r="K8" s="38"/>
      <c r="L8" s="38"/>
      <c r="M8" s="38"/>
      <c r="N8" s="44">
        <f t="shared" si="2"/>
        <v>0</v>
      </c>
      <c r="O8" s="38"/>
      <c r="P8" s="38"/>
      <c r="Q8" s="38"/>
      <c r="R8" s="38"/>
      <c r="S8" s="56">
        <f t="shared" si="3"/>
        <v>0</v>
      </c>
      <c r="T8" s="38"/>
      <c r="U8" s="38"/>
      <c r="V8" s="39"/>
      <c r="W8" s="40"/>
      <c r="X8" s="36">
        <f t="shared" si="4"/>
        <v>0</v>
      </c>
      <c r="Y8" s="38"/>
      <c r="Z8" s="38"/>
      <c r="AA8" s="38"/>
      <c r="AB8" s="40"/>
      <c r="AC8" s="36">
        <f t="shared" si="5"/>
        <v>0</v>
      </c>
      <c r="AD8" s="40">
        <f aca="true" t="shared" si="8" ref="AD8:AD30">J8+O8+T8+E8+Y8</f>
        <v>53</v>
      </c>
      <c r="AE8" s="40">
        <f t="shared" si="6"/>
        <v>0</v>
      </c>
      <c r="AF8" s="40">
        <f t="shared" si="7"/>
        <v>0</v>
      </c>
      <c r="AG8" s="40">
        <f aca="true" t="shared" si="9" ref="AG8:AG39">+AB8+W8+R8+M8+H8</f>
        <v>0</v>
      </c>
      <c r="AH8" s="36">
        <f aca="true" t="shared" si="10" ref="AH8:AH13">AD8+AE8+AF8</f>
        <v>53</v>
      </c>
      <c r="AJ8" s="32"/>
    </row>
    <row r="9" spans="1:36" s="31" customFormat="1" ht="22.5">
      <c r="A9" s="48">
        <v>3</v>
      </c>
      <c r="B9" s="58" t="s">
        <v>58</v>
      </c>
      <c r="C9" s="53">
        <v>60110200</v>
      </c>
      <c r="D9" s="47" t="s">
        <v>28</v>
      </c>
      <c r="E9" s="38"/>
      <c r="F9" s="38"/>
      <c r="G9" s="38"/>
      <c r="H9" s="38"/>
      <c r="I9" s="44">
        <f t="shared" si="1"/>
        <v>0</v>
      </c>
      <c r="J9" s="38"/>
      <c r="K9" s="38"/>
      <c r="L9" s="38"/>
      <c r="M9" s="38"/>
      <c r="N9" s="44">
        <f t="shared" si="2"/>
        <v>0</v>
      </c>
      <c r="O9" s="38">
        <v>8</v>
      </c>
      <c r="P9" s="38"/>
      <c r="Q9" s="38"/>
      <c r="R9" s="39"/>
      <c r="S9" s="36">
        <f t="shared" si="3"/>
        <v>8</v>
      </c>
      <c r="T9" s="39">
        <f>11+2+223+42+10+1+96+1+14+7+11+1+1+2-1-1-1+1-64+1-25+3+8-4-2+4+10+3+1+2+1-2+1+6-2+5-3+3-3+1-2-2+1+1-1+3-5-13+1+1-1+3-1-1-3+17-6-10-1-1+1+1+1-2-1+3+3-1+1+1+3+1+1-1+1-3-1-1+1-8-1+1-1+1-1-1+1+1-1-11-1-1-1+1+1</f>
        <v>331</v>
      </c>
      <c r="U9" s="39">
        <f>1+25+1+1+4-4+3</f>
        <v>31</v>
      </c>
      <c r="V9" s="38"/>
      <c r="W9" s="40"/>
      <c r="X9" s="36">
        <f t="shared" si="4"/>
        <v>362</v>
      </c>
      <c r="Y9" s="39"/>
      <c r="Z9" s="39"/>
      <c r="AA9" s="39"/>
      <c r="AB9" s="40"/>
      <c r="AC9" s="36">
        <f t="shared" si="5"/>
        <v>0</v>
      </c>
      <c r="AD9" s="40">
        <f t="shared" si="8"/>
        <v>339</v>
      </c>
      <c r="AE9" s="40">
        <f t="shared" si="6"/>
        <v>31</v>
      </c>
      <c r="AF9" s="40">
        <f t="shared" si="7"/>
        <v>0</v>
      </c>
      <c r="AG9" s="40">
        <f t="shared" si="9"/>
        <v>0</v>
      </c>
      <c r="AH9" s="36">
        <f t="shared" si="10"/>
        <v>370</v>
      </c>
      <c r="AJ9" s="32"/>
    </row>
    <row r="10" spans="1:36" s="31" customFormat="1" ht="12.75">
      <c r="A10" s="48">
        <v>4</v>
      </c>
      <c r="B10" s="57" t="s">
        <v>43</v>
      </c>
      <c r="C10" s="54">
        <v>60411400</v>
      </c>
      <c r="D10" s="47" t="s">
        <v>26</v>
      </c>
      <c r="E10" s="38"/>
      <c r="F10" s="38"/>
      <c r="G10" s="38"/>
      <c r="H10" s="38"/>
      <c r="I10" s="44">
        <f t="shared" si="1"/>
        <v>0</v>
      </c>
      <c r="J10" s="38"/>
      <c r="K10" s="38"/>
      <c r="L10" s="38"/>
      <c r="M10" s="38"/>
      <c r="N10" s="44">
        <f t="shared" si="2"/>
        <v>0</v>
      </c>
      <c r="O10" s="38"/>
      <c r="P10" s="38"/>
      <c r="Q10" s="38"/>
      <c r="R10" s="38"/>
      <c r="S10" s="36">
        <f t="shared" si="3"/>
        <v>0</v>
      </c>
      <c r="T10" s="38"/>
      <c r="U10" s="38"/>
      <c r="V10" s="38"/>
      <c r="W10" s="40"/>
      <c r="X10" s="36">
        <f t="shared" si="4"/>
        <v>0</v>
      </c>
      <c r="Y10" s="39">
        <f>4+8+11+2+1+5+3+2+1+1-2-1-1-1+1-1+1+1-1-5-2+1-1-4-2-1+2-1-1</f>
        <v>20</v>
      </c>
      <c r="Z10" s="38"/>
      <c r="AA10" s="38"/>
      <c r="AB10" s="40"/>
      <c r="AC10" s="36">
        <f t="shared" si="5"/>
        <v>20</v>
      </c>
      <c r="AD10" s="40">
        <f t="shared" si="8"/>
        <v>20</v>
      </c>
      <c r="AE10" s="40">
        <f t="shared" si="6"/>
        <v>0</v>
      </c>
      <c r="AF10" s="40">
        <f t="shared" si="7"/>
        <v>0</v>
      </c>
      <c r="AG10" s="40">
        <f t="shared" si="9"/>
        <v>0</v>
      </c>
      <c r="AH10" s="36">
        <f t="shared" si="10"/>
        <v>20</v>
      </c>
      <c r="AJ10" s="32"/>
    </row>
    <row r="11" spans="1:36" s="31" customFormat="1" ht="22.5">
      <c r="A11" s="48">
        <v>5</v>
      </c>
      <c r="B11" s="58" t="s">
        <v>58</v>
      </c>
      <c r="C11" s="53">
        <v>60111300</v>
      </c>
      <c r="D11" s="49" t="s">
        <v>27</v>
      </c>
      <c r="E11" s="38"/>
      <c r="F11" s="38"/>
      <c r="G11" s="38"/>
      <c r="H11" s="38"/>
      <c r="I11" s="44">
        <f t="shared" si="1"/>
        <v>0</v>
      </c>
      <c r="J11" s="38"/>
      <c r="K11" s="38"/>
      <c r="L11" s="38"/>
      <c r="M11" s="38"/>
      <c r="N11" s="44">
        <f t="shared" si="2"/>
        <v>0</v>
      </c>
      <c r="O11" s="38"/>
      <c r="P11" s="38"/>
      <c r="Q11" s="38"/>
      <c r="R11" s="38">
        <v>6</v>
      </c>
      <c r="S11" s="36">
        <f t="shared" si="3"/>
        <v>0</v>
      </c>
      <c r="T11" s="39">
        <f>4+4+51+3+2+5+2+1-1+6+1+1-1+1+2-4-2+1-1+2-2-1-2+3+1-1+1+7-1-1-1-6</f>
        <v>74</v>
      </c>
      <c r="U11" s="38"/>
      <c r="V11" s="38"/>
      <c r="W11" s="40">
        <v>2</v>
      </c>
      <c r="X11" s="36">
        <f t="shared" si="4"/>
        <v>74</v>
      </c>
      <c r="Y11" s="39">
        <f>1+2+21+8+16+15+11+3+5+1+2-4+2+2+3-1-1+1-1+1-1+1+1+1-1-1+1-6+1-1+1+1-1-1-3+3-1-7+2-1-1+1-1-1-1-2</f>
        <v>70</v>
      </c>
      <c r="Z11" s="38"/>
      <c r="AA11" s="38"/>
      <c r="AB11" s="40"/>
      <c r="AC11" s="36">
        <f t="shared" si="5"/>
        <v>70</v>
      </c>
      <c r="AD11" s="40">
        <f t="shared" si="8"/>
        <v>144</v>
      </c>
      <c r="AE11" s="40">
        <f t="shared" si="6"/>
        <v>0</v>
      </c>
      <c r="AF11" s="40">
        <f t="shared" si="7"/>
        <v>0</v>
      </c>
      <c r="AG11" s="40">
        <f t="shared" si="9"/>
        <v>8</v>
      </c>
      <c r="AH11" s="36">
        <f t="shared" si="10"/>
        <v>144</v>
      </c>
      <c r="AJ11" s="32"/>
    </row>
    <row r="12" spans="1:36" s="31" customFormat="1" ht="12.75">
      <c r="A12" s="48">
        <v>6</v>
      </c>
      <c r="B12" s="57" t="s">
        <v>31</v>
      </c>
      <c r="C12" s="53">
        <v>60230100</v>
      </c>
      <c r="D12" s="49" t="s">
        <v>21</v>
      </c>
      <c r="E12" s="38">
        <f>2+7+3+3+6+3+14</f>
        <v>38</v>
      </c>
      <c r="F12" s="38"/>
      <c r="G12" s="38"/>
      <c r="H12" s="87"/>
      <c r="I12" s="44">
        <f t="shared" si="1"/>
        <v>38</v>
      </c>
      <c r="J12" s="38">
        <f>4+12+10+11+1+2+1+1+1+1+1+1+1</f>
        <v>47</v>
      </c>
      <c r="K12" s="38"/>
      <c r="L12" s="38"/>
      <c r="M12" s="38"/>
      <c r="N12" s="44">
        <f t="shared" si="2"/>
        <v>47</v>
      </c>
      <c r="O12" s="38"/>
      <c r="P12" s="38"/>
      <c r="Q12" s="38"/>
      <c r="R12" s="38">
        <v>7</v>
      </c>
      <c r="S12" s="36">
        <f t="shared" si="3"/>
        <v>0</v>
      </c>
      <c r="T12" s="39">
        <f>3+1+43+7+2+20-1+2+4-1+1+1-1+1+12+72+13+31+22+2+2+2+4-1+1-1+3-2-1-4+1+7-1-1+1+2-5-1+1+1+1+1-1-6+44-1+1+2+3-2+1+1+2+1+2-1+2+2-1-1-1+1+1-4-1+1-1+1-1+1+2-3+1-7+1+1-2</f>
        <v>282</v>
      </c>
      <c r="U12" s="38"/>
      <c r="V12" s="38"/>
      <c r="W12" s="40"/>
      <c r="X12" s="36">
        <f t="shared" si="4"/>
        <v>282</v>
      </c>
      <c r="Y12" s="39">
        <f>7+31+21+1+2+4+6+2+1+1+1+1+1+1+35+11-4+2+3+1+1+3+4+2+1+1+1+3-2+1-1-13+1+5+1-2+1+2+2+1+1+4+1-1-1-1-43-1-3-1-1+1-1-1+1-1-1-1+1-1+1</f>
        <v>92</v>
      </c>
      <c r="Z12" s="38"/>
      <c r="AA12" s="38"/>
      <c r="AB12" s="40"/>
      <c r="AC12" s="36">
        <f t="shared" si="5"/>
        <v>92</v>
      </c>
      <c r="AD12" s="40">
        <f t="shared" si="8"/>
        <v>459</v>
      </c>
      <c r="AE12" s="40">
        <f t="shared" si="6"/>
        <v>0</v>
      </c>
      <c r="AF12" s="40">
        <f t="shared" si="7"/>
        <v>0</v>
      </c>
      <c r="AG12" s="40">
        <f t="shared" si="9"/>
        <v>7</v>
      </c>
      <c r="AH12" s="36">
        <f t="shared" si="10"/>
        <v>459</v>
      </c>
      <c r="AI12" s="35"/>
      <c r="AJ12" s="32"/>
    </row>
    <row r="13" spans="1:36" s="31" customFormat="1" ht="12.75">
      <c r="A13" s="48">
        <v>7</v>
      </c>
      <c r="B13" s="57" t="s">
        <v>31</v>
      </c>
      <c r="C13" s="53">
        <v>60220300</v>
      </c>
      <c r="D13" s="49" t="s">
        <v>11</v>
      </c>
      <c r="E13" s="38"/>
      <c r="F13" s="38"/>
      <c r="G13" s="38"/>
      <c r="H13" s="38"/>
      <c r="I13" s="44">
        <f t="shared" si="1"/>
        <v>0</v>
      </c>
      <c r="J13" s="38"/>
      <c r="K13" s="38"/>
      <c r="L13" s="38"/>
      <c r="M13" s="38"/>
      <c r="N13" s="44">
        <f t="shared" si="2"/>
        <v>0</v>
      </c>
      <c r="O13" s="38"/>
      <c r="P13" s="38"/>
      <c r="Q13" s="38"/>
      <c r="R13" s="38"/>
      <c r="S13" s="36">
        <f t="shared" si="3"/>
        <v>0</v>
      </c>
      <c r="T13" s="38"/>
      <c r="U13" s="38"/>
      <c r="V13" s="38"/>
      <c r="W13" s="40">
        <v>1</v>
      </c>
      <c r="X13" s="36">
        <f t="shared" si="4"/>
        <v>0</v>
      </c>
      <c r="Y13" s="39">
        <f>1+3+24+10+7+1+38+21+4+1-1+2-1-1+46+4+1+10-2-1+1+3-1+3+3+1+6+2-7+1+1+2-1+1+1-1+2+1-2+1+1-1-3+1-13+29-1+2-1+3+1-7+9+1-1+1-1+1+3+1-1+1-6-2+1-4+1-8+2-1-1-1+1-14+1+3-1-1+1-1-3-2-1-1</f>
        <v>172</v>
      </c>
      <c r="Z13" s="38"/>
      <c r="AA13" s="38"/>
      <c r="AB13" s="40"/>
      <c r="AC13" s="36">
        <f t="shared" si="5"/>
        <v>172</v>
      </c>
      <c r="AD13" s="40">
        <f t="shared" si="8"/>
        <v>172</v>
      </c>
      <c r="AE13" s="40">
        <f t="shared" si="6"/>
        <v>0</v>
      </c>
      <c r="AF13" s="40">
        <f t="shared" si="7"/>
        <v>0</v>
      </c>
      <c r="AG13" s="40">
        <f t="shared" si="9"/>
        <v>1</v>
      </c>
      <c r="AH13" s="36">
        <f t="shared" si="10"/>
        <v>172</v>
      </c>
      <c r="AJ13" s="32"/>
    </row>
    <row r="14" spans="1:36" s="31" customFormat="1" ht="22.5">
      <c r="A14" s="48">
        <v>8</v>
      </c>
      <c r="B14" s="58" t="s">
        <v>58</v>
      </c>
      <c r="C14" s="53">
        <v>60110500</v>
      </c>
      <c r="D14" s="47" t="s">
        <v>22</v>
      </c>
      <c r="E14" s="38"/>
      <c r="F14" s="38"/>
      <c r="G14" s="38"/>
      <c r="H14" s="38"/>
      <c r="I14" s="44">
        <f t="shared" si="1"/>
        <v>0</v>
      </c>
      <c r="J14" s="38"/>
      <c r="K14" s="38"/>
      <c r="L14" s="38"/>
      <c r="M14" s="38"/>
      <c r="N14" s="44">
        <f>J14+K14+L14</f>
        <v>0</v>
      </c>
      <c r="O14" s="38"/>
      <c r="P14" s="38"/>
      <c r="Q14" s="38"/>
      <c r="R14" s="38"/>
      <c r="S14" s="36">
        <f aca="true" t="shared" si="11" ref="S14:S29">O14+P14+Q14</f>
        <v>0</v>
      </c>
      <c r="T14" s="38"/>
      <c r="U14" s="38"/>
      <c r="V14" s="38"/>
      <c r="W14" s="40"/>
      <c r="X14" s="36">
        <f aca="true" t="shared" si="12" ref="X14:X21">T14+U14+V14</f>
        <v>0</v>
      </c>
      <c r="Y14" s="39">
        <f>3+1+3+109+1+57+5+13+18+40+2+53+9+1+3+1+25-3+2-1-2-1-1-1-1+20+1+157+10+14+36-1-2+7-1-8+2+2-1+3+1-1+8+1-3+4+6-2+1+8+3+1+3+2-1+3+3-1+1+1+1+1+1-1+2-5-2-3+10-3+1+6-20+25+1+4+18+3-43+6+3+1+1-2+1+8+2+2+4-1+1+1+1+1-1+4+1-8+1-1-1-1+1+2-6-30-2-2-3-1-3-1-1+1-2-1-1-11+3+1-1-1-1-1-6-2+3+2</f>
        <v>569</v>
      </c>
      <c r="Z14" s="39">
        <f>5+9+1+1+1</f>
        <v>17</v>
      </c>
      <c r="AA14" s="38"/>
      <c r="AB14" s="40"/>
      <c r="AC14" s="36">
        <f t="shared" si="5"/>
        <v>586</v>
      </c>
      <c r="AD14" s="40">
        <f t="shared" si="8"/>
        <v>569</v>
      </c>
      <c r="AE14" s="40">
        <f t="shared" si="6"/>
        <v>17</v>
      </c>
      <c r="AF14" s="40">
        <f t="shared" si="7"/>
        <v>0</v>
      </c>
      <c r="AG14" s="40">
        <f t="shared" si="9"/>
        <v>0</v>
      </c>
      <c r="AH14" s="36">
        <f aca="true" t="shared" si="13" ref="AH14:AH20">AD14+AE14+AF14</f>
        <v>586</v>
      </c>
      <c r="AJ14" s="32"/>
    </row>
    <row r="15" spans="1:36" s="31" customFormat="1" ht="22.5">
      <c r="A15" s="48">
        <v>9</v>
      </c>
      <c r="B15" s="58" t="s">
        <v>58</v>
      </c>
      <c r="C15" s="53">
        <v>60110600</v>
      </c>
      <c r="D15" s="49" t="s">
        <v>23</v>
      </c>
      <c r="E15" s="38"/>
      <c r="F15" s="38"/>
      <c r="G15" s="38"/>
      <c r="H15" s="38"/>
      <c r="I15" s="44">
        <f t="shared" si="1"/>
        <v>0</v>
      </c>
      <c r="J15" s="38"/>
      <c r="K15" s="38"/>
      <c r="L15" s="38"/>
      <c r="M15" s="38"/>
      <c r="N15" s="44">
        <f aca="true" t="shared" si="14" ref="N15:N29">J15+K15+L15</f>
        <v>0</v>
      </c>
      <c r="O15" s="38"/>
      <c r="P15" s="38"/>
      <c r="Q15" s="38"/>
      <c r="R15" s="38"/>
      <c r="S15" s="36">
        <f t="shared" si="11"/>
        <v>0</v>
      </c>
      <c r="T15" s="38"/>
      <c r="U15" s="38"/>
      <c r="V15" s="39"/>
      <c r="W15" s="40"/>
      <c r="X15" s="36">
        <f t="shared" si="12"/>
        <v>0</v>
      </c>
      <c r="Y15" s="39">
        <f>1+3+1+15+7+1+1+1+2+1+2-1+3+14+13+3+5+1+1+2-6+1+1+1+2+1+1-1-1-2+1-11+19+1+3-2+5+1-1-1+1-4-1-1-6-9+15-1+1-5+1-4+2-2-1+1</f>
        <v>75</v>
      </c>
      <c r="Z15" s="38"/>
      <c r="AA15" s="38"/>
      <c r="AB15" s="40"/>
      <c r="AC15" s="36">
        <f t="shared" si="5"/>
        <v>75</v>
      </c>
      <c r="AD15" s="40">
        <f t="shared" si="8"/>
        <v>75</v>
      </c>
      <c r="AE15" s="40">
        <f t="shared" si="6"/>
        <v>0</v>
      </c>
      <c r="AF15" s="40">
        <f t="shared" si="7"/>
        <v>0</v>
      </c>
      <c r="AG15" s="40">
        <f t="shared" si="9"/>
        <v>0</v>
      </c>
      <c r="AH15" s="36">
        <f t="shared" si="13"/>
        <v>75</v>
      </c>
      <c r="AJ15" s="32"/>
    </row>
    <row r="16" spans="1:36" s="31" customFormat="1" ht="22.5">
      <c r="A16" s="48">
        <v>10</v>
      </c>
      <c r="B16" s="58" t="s">
        <v>58</v>
      </c>
      <c r="C16" s="53">
        <v>60112200</v>
      </c>
      <c r="D16" s="49" t="s">
        <v>13</v>
      </c>
      <c r="E16" s="38"/>
      <c r="F16" s="38"/>
      <c r="G16" s="38"/>
      <c r="H16" s="87"/>
      <c r="I16" s="44">
        <f t="shared" si="1"/>
        <v>0</v>
      </c>
      <c r="J16" s="38"/>
      <c r="K16" s="38"/>
      <c r="L16" s="38"/>
      <c r="M16" s="38"/>
      <c r="N16" s="44">
        <f t="shared" si="14"/>
        <v>0</v>
      </c>
      <c r="O16" s="38">
        <v>56</v>
      </c>
      <c r="P16" s="38"/>
      <c r="Q16" s="38"/>
      <c r="R16" s="38"/>
      <c r="S16" s="36">
        <f t="shared" si="11"/>
        <v>56</v>
      </c>
      <c r="T16" s="39">
        <f>1+5+90+13+1+3+30+43+5+5+5+1-1-1-1-5-2+4-2+71+9+52+3+122-1+1+2+4+48-31+4-4-1-5-4+3+1+3+1-6+1+8-1+6+2+1-27-1+1-1+1+3+2-24-1+34-1-3-2+4-1+12+1-2+2-1-4-3+2+5-8-1-2-1-24+3+2-1+1-1+10-1-1-11+1+7-1+1-1+1-56+1+15+1-1</f>
        <v>412</v>
      </c>
      <c r="U16" s="39">
        <f>20+1+2+4+1-4-1</f>
        <v>23</v>
      </c>
      <c r="V16" s="38"/>
      <c r="W16" s="40">
        <f>1+1</f>
        <v>2</v>
      </c>
      <c r="X16" s="36">
        <f t="shared" si="12"/>
        <v>435</v>
      </c>
      <c r="Y16" s="39">
        <f>2+5+25+24+33+45+1+11+17+17-1+2+1+4+16-1-1+7+89+8+26-5-1+21+6-2+1+9-1+3+9+6-2+4+2+3-1-1+1+1-1+4-1-1+1-1-1+4-1-3-4-4+1-4-2-52+44-1+1+9+2-48+30+1-1-3+2+4-1-1-1-1-24+1-2+2-1-24-34+11+3+1-1-1-3-2-5-12+1-3-1-1+3+1-1-1+1-12-3-7-1+1-1-1+2</f>
        <v>240</v>
      </c>
      <c r="Z16" s="39">
        <f>4+4+1+2+2+2+1</f>
        <v>16</v>
      </c>
      <c r="AA16" s="38"/>
      <c r="AB16" s="40"/>
      <c r="AC16" s="36">
        <f t="shared" si="5"/>
        <v>256</v>
      </c>
      <c r="AD16" s="40">
        <f t="shared" si="8"/>
        <v>708</v>
      </c>
      <c r="AE16" s="40">
        <f t="shared" si="6"/>
        <v>39</v>
      </c>
      <c r="AF16" s="40">
        <f t="shared" si="7"/>
        <v>0</v>
      </c>
      <c r="AG16" s="40">
        <f t="shared" si="9"/>
        <v>2</v>
      </c>
      <c r="AH16" s="36">
        <f t="shared" si="13"/>
        <v>747</v>
      </c>
      <c r="AJ16" s="32"/>
    </row>
    <row r="17" spans="1:36" s="33" customFormat="1" ht="12.75">
      <c r="A17" s="48">
        <v>11</v>
      </c>
      <c r="B17" s="57" t="s">
        <v>32</v>
      </c>
      <c r="C17" s="53">
        <v>60510100</v>
      </c>
      <c r="D17" s="49" t="s">
        <v>24</v>
      </c>
      <c r="E17" s="38">
        <f>3+3+2+8+8+7+19</f>
        <v>50</v>
      </c>
      <c r="F17" s="38"/>
      <c r="G17" s="38"/>
      <c r="H17" s="38"/>
      <c r="I17" s="44">
        <f t="shared" si="1"/>
        <v>50</v>
      </c>
      <c r="J17" s="38"/>
      <c r="K17" s="38"/>
      <c r="L17" s="38"/>
      <c r="M17" s="38"/>
      <c r="N17" s="44">
        <f t="shared" si="14"/>
        <v>0</v>
      </c>
      <c r="O17" s="38"/>
      <c r="P17" s="38"/>
      <c r="Q17" s="38"/>
      <c r="R17" s="38"/>
      <c r="S17" s="36">
        <f t="shared" si="11"/>
        <v>0</v>
      </c>
      <c r="T17" s="38"/>
      <c r="U17" s="38"/>
      <c r="V17" s="38"/>
      <c r="W17" s="40"/>
      <c r="X17" s="36">
        <f t="shared" si="12"/>
        <v>0</v>
      </c>
      <c r="Y17" s="39">
        <f>16+10+10+8-1+1+3+38+8+23-1+1+8-1-1+6+1+1+5+3+10+3-1+1+2+1-1+1-1+1-1-2+3+4-2+13+1+2-3+16-2+2-1-1-4+1-2-10+9+1-1-5+2-1-1-3+1-1+1</f>
        <v>170</v>
      </c>
      <c r="Z17" s="38"/>
      <c r="AA17" s="38"/>
      <c r="AB17" s="40"/>
      <c r="AC17" s="36">
        <f t="shared" si="5"/>
        <v>170</v>
      </c>
      <c r="AD17" s="40">
        <f t="shared" si="8"/>
        <v>220</v>
      </c>
      <c r="AE17" s="40">
        <f t="shared" si="6"/>
        <v>0</v>
      </c>
      <c r="AF17" s="40">
        <f t="shared" si="7"/>
        <v>0</v>
      </c>
      <c r="AG17" s="40">
        <f t="shared" si="9"/>
        <v>0</v>
      </c>
      <c r="AH17" s="36">
        <f t="shared" si="13"/>
        <v>220</v>
      </c>
      <c r="AJ17" s="34"/>
    </row>
    <row r="18" spans="1:36" s="33" customFormat="1" ht="22.5">
      <c r="A18" s="48">
        <v>12</v>
      </c>
      <c r="B18" s="58" t="s">
        <v>58</v>
      </c>
      <c r="C18" s="53">
        <v>60111200</v>
      </c>
      <c r="D18" s="49" t="s">
        <v>35</v>
      </c>
      <c r="E18" s="38"/>
      <c r="F18" s="38"/>
      <c r="G18" s="38"/>
      <c r="H18" s="38"/>
      <c r="I18" s="44">
        <f t="shared" si="1"/>
        <v>0</v>
      </c>
      <c r="J18" s="38"/>
      <c r="K18" s="38"/>
      <c r="L18" s="38"/>
      <c r="M18" s="38"/>
      <c r="N18" s="44">
        <f t="shared" si="14"/>
        <v>0</v>
      </c>
      <c r="O18" s="38"/>
      <c r="P18" s="38"/>
      <c r="Q18" s="38"/>
      <c r="R18" s="38">
        <v>1</v>
      </c>
      <c r="S18" s="36">
        <f t="shared" si="11"/>
        <v>0</v>
      </c>
      <c r="T18" s="39">
        <f>3+24+3+2+11+1+2-1-1-1+2+1+6+1+1-2+1-1+1+1-1+3-4+1-1-1-1+3-1+2-1+1-1-1</f>
        <v>52</v>
      </c>
      <c r="U18" s="38"/>
      <c r="V18" s="38"/>
      <c r="W18" s="40"/>
      <c r="X18" s="36">
        <f t="shared" si="12"/>
        <v>52</v>
      </c>
      <c r="Y18" s="39">
        <f>2+7+9+13+11+6+6+5+5-3+1+8+1-1+3-2-1+1+3+1+1+1+1+1-1+1-1-2-6+3+1-1+1+1+1-1-3-1-1</f>
        <v>70</v>
      </c>
      <c r="Z18" s="38"/>
      <c r="AA18" s="38"/>
      <c r="AB18" s="40"/>
      <c r="AC18" s="36">
        <f t="shared" si="5"/>
        <v>70</v>
      </c>
      <c r="AD18" s="40">
        <f t="shared" si="8"/>
        <v>122</v>
      </c>
      <c r="AE18" s="40">
        <f t="shared" si="6"/>
        <v>0</v>
      </c>
      <c r="AF18" s="40">
        <f t="shared" si="7"/>
        <v>0</v>
      </c>
      <c r="AG18" s="40">
        <f t="shared" si="9"/>
        <v>1</v>
      </c>
      <c r="AH18" s="36">
        <f t="shared" si="13"/>
        <v>122</v>
      </c>
      <c r="AJ18" s="34"/>
    </row>
    <row r="19" spans="1:36" s="33" customFormat="1" ht="22.5">
      <c r="A19" s="48">
        <v>13</v>
      </c>
      <c r="B19" s="58" t="s">
        <v>58</v>
      </c>
      <c r="C19" s="53">
        <v>60112300</v>
      </c>
      <c r="D19" s="49" t="s">
        <v>36</v>
      </c>
      <c r="E19" s="38"/>
      <c r="F19" s="38"/>
      <c r="G19" s="38"/>
      <c r="H19" s="38"/>
      <c r="I19" s="44">
        <f t="shared" si="1"/>
        <v>0</v>
      </c>
      <c r="J19" s="38"/>
      <c r="K19" s="38"/>
      <c r="L19" s="38"/>
      <c r="M19" s="38"/>
      <c r="N19" s="44">
        <f t="shared" si="14"/>
        <v>0</v>
      </c>
      <c r="O19" s="38">
        <v>10</v>
      </c>
      <c r="P19" s="38"/>
      <c r="Q19" s="38"/>
      <c r="R19" s="38"/>
      <c r="S19" s="36">
        <f t="shared" si="11"/>
        <v>10</v>
      </c>
      <c r="T19" s="39">
        <f>4+1+49+8+1+3+9+1-1-1-1-1-3+1-1+1+35+1+2+3+2+13-3+1-1-2+1-2+1-1-1+1-15+2-1-1-15+5-1+1+1+2+1+2-1-2-1-1-10+1</f>
        <v>87</v>
      </c>
      <c r="U19" s="38"/>
      <c r="V19" s="38"/>
      <c r="W19" s="40"/>
      <c r="X19" s="36">
        <f t="shared" si="12"/>
        <v>87</v>
      </c>
      <c r="Y19" s="39">
        <f>2+23+14+1+1+3+7+1+2-4-1+1+2+30+3+9+7+1-1+13+3+1+3+3+3+8+1+1+1+1+1-1-1+1-1-1-35+1+1+1+1-13-3+1+1-1-3-1-5-2+1-1-1</f>
        <v>79</v>
      </c>
      <c r="Z19" s="38"/>
      <c r="AA19" s="38"/>
      <c r="AB19" s="40"/>
      <c r="AC19" s="36">
        <f t="shared" si="5"/>
        <v>79</v>
      </c>
      <c r="AD19" s="40">
        <f t="shared" si="8"/>
        <v>176</v>
      </c>
      <c r="AE19" s="40">
        <f t="shared" si="6"/>
        <v>0</v>
      </c>
      <c r="AF19" s="40">
        <f t="shared" si="7"/>
        <v>0</v>
      </c>
      <c r="AG19" s="40">
        <f t="shared" si="9"/>
        <v>0</v>
      </c>
      <c r="AH19" s="36">
        <f t="shared" si="13"/>
        <v>176</v>
      </c>
      <c r="AJ19" s="34"/>
    </row>
    <row r="20" spans="1:36" s="33" customFormat="1" ht="12.75">
      <c r="A20" s="48">
        <v>14</v>
      </c>
      <c r="B20" s="57" t="s">
        <v>42</v>
      </c>
      <c r="C20" s="53">
        <v>60310900</v>
      </c>
      <c r="D20" s="49" t="s">
        <v>37</v>
      </c>
      <c r="E20" s="38">
        <f>4+7+11+1+21+3+27</f>
        <v>74</v>
      </c>
      <c r="F20" s="38"/>
      <c r="G20" s="38"/>
      <c r="H20" s="38"/>
      <c r="I20" s="44">
        <f t="shared" si="1"/>
        <v>74</v>
      </c>
      <c r="J20" s="38"/>
      <c r="K20" s="38"/>
      <c r="L20" s="38"/>
      <c r="M20" s="38">
        <v>7</v>
      </c>
      <c r="N20" s="44">
        <f t="shared" si="14"/>
        <v>0</v>
      </c>
      <c r="O20" s="38">
        <f>5+71+10+3+6+25+1+2+1+3+2+1-1+5+1+1-1+2+1+6-1+2+1+3+2+1+1-1-7+1-1+8</f>
        <v>153</v>
      </c>
      <c r="P20" s="38"/>
      <c r="Q20" s="38"/>
      <c r="R20" s="39"/>
      <c r="S20" s="36">
        <f t="shared" si="11"/>
        <v>153</v>
      </c>
      <c r="T20" s="39">
        <f>1+2+2+52+9+1+9+1+16-2+2+1-1+1-1-3+4-1+3+21+14+5+28+5+1+4+2+1+4+1+1-1+1+7+1+1-6-1-1+1+2+1-4+10-1-1-1+1-1-1+2+1-1-1-1+2-1+1+1+1-1-1+1-1-1-1-4+1+3+1-1-1+1-2-8-1</f>
        <v>179</v>
      </c>
      <c r="U20" s="38"/>
      <c r="V20" s="38"/>
      <c r="W20" s="40">
        <v>1</v>
      </c>
      <c r="X20" s="36">
        <f t="shared" si="12"/>
        <v>179</v>
      </c>
      <c r="Y20" s="62">
        <f>1+18+1+14+2+3+3+15+13+5+3-1-1-1-1-1-1+3+20+4+2+7+4+4+3-1+4-2+4+1+1+1+1-2+2+2+1-4-4-4-1-14+21-2+10+1-2+1-1-10-1-2+1-2-10+3+1-1-2+1+2-1-1-2-1+1-3+1-1</f>
        <v>105</v>
      </c>
      <c r="Z20" s="39">
        <f>5+5+2+6+4-1</f>
        <v>21</v>
      </c>
      <c r="AA20" s="39"/>
      <c r="AB20" s="40"/>
      <c r="AC20" s="36">
        <f t="shared" si="5"/>
        <v>126</v>
      </c>
      <c r="AD20" s="40">
        <f t="shared" si="8"/>
        <v>511</v>
      </c>
      <c r="AE20" s="40">
        <f t="shared" si="6"/>
        <v>21</v>
      </c>
      <c r="AF20" s="40">
        <f t="shared" si="7"/>
        <v>0</v>
      </c>
      <c r="AG20" s="40">
        <f t="shared" si="9"/>
        <v>8</v>
      </c>
      <c r="AH20" s="36">
        <f t="shared" si="13"/>
        <v>532</v>
      </c>
      <c r="AJ20" s="34"/>
    </row>
    <row r="21" spans="1:36" s="33" customFormat="1" ht="12.75">
      <c r="A21" s="48">
        <v>15</v>
      </c>
      <c r="B21" s="57" t="s">
        <v>44</v>
      </c>
      <c r="C21" s="53">
        <v>60530400</v>
      </c>
      <c r="D21" s="49" t="s">
        <v>40</v>
      </c>
      <c r="E21" s="38"/>
      <c r="F21" s="38"/>
      <c r="G21" s="38"/>
      <c r="H21" s="38"/>
      <c r="I21" s="44">
        <f t="shared" si="1"/>
        <v>0</v>
      </c>
      <c r="J21" s="38"/>
      <c r="K21" s="38"/>
      <c r="L21" s="38"/>
      <c r="M21" s="38"/>
      <c r="N21" s="44">
        <f t="shared" si="14"/>
        <v>0</v>
      </c>
      <c r="O21" s="38"/>
      <c r="P21" s="38"/>
      <c r="Q21" s="38"/>
      <c r="R21" s="38"/>
      <c r="S21" s="36">
        <f t="shared" si="11"/>
        <v>0</v>
      </c>
      <c r="T21" s="38"/>
      <c r="U21" s="38"/>
      <c r="V21" s="38"/>
      <c r="W21" s="40"/>
      <c r="X21" s="36">
        <f t="shared" si="12"/>
        <v>0</v>
      </c>
      <c r="Y21" s="39">
        <f>13+7+4+2+1+16+1+3+4+2+1+2+1+1+1+1+1+1-1+2-9-2+1+1-8-1+2-1-1</f>
        <v>45</v>
      </c>
      <c r="Z21" s="38"/>
      <c r="AA21" s="38"/>
      <c r="AB21" s="40"/>
      <c r="AC21" s="36">
        <f t="shared" si="5"/>
        <v>45</v>
      </c>
      <c r="AD21" s="40">
        <f t="shared" si="8"/>
        <v>45</v>
      </c>
      <c r="AE21" s="40">
        <f t="shared" si="6"/>
        <v>0</v>
      </c>
      <c r="AF21" s="40">
        <f t="shared" si="7"/>
        <v>0</v>
      </c>
      <c r="AG21" s="40">
        <f t="shared" si="9"/>
        <v>0</v>
      </c>
      <c r="AH21" s="36">
        <f>AD21+AE21+AF21</f>
        <v>45</v>
      </c>
      <c r="AJ21" s="34"/>
    </row>
    <row r="22" spans="1:36" s="33" customFormat="1" ht="22.5">
      <c r="A22" s="48">
        <v>16</v>
      </c>
      <c r="B22" s="58" t="s">
        <v>58</v>
      </c>
      <c r="C22" s="52">
        <v>60110600</v>
      </c>
      <c r="D22" s="51" t="s">
        <v>48</v>
      </c>
      <c r="E22" s="38"/>
      <c r="F22" s="38"/>
      <c r="G22" s="38"/>
      <c r="H22" s="38"/>
      <c r="I22" s="44">
        <f t="shared" si="1"/>
        <v>0</v>
      </c>
      <c r="J22" s="38"/>
      <c r="K22" s="38"/>
      <c r="L22" s="38"/>
      <c r="M22" s="38"/>
      <c r="N22" s="44">
        <f t="shared" si="14"/>
        <v>0</v>
      </c>
      <c r="O22" s="38"/>
      <c r="P22" s="38"/>
      <c r="Q22" s="38"/>
      <c r="R22" s="38"/>
      <c r="S22" s="36">
        <f t="shared" si="11"/>
        <v>0</v>
      </c>
      <c r="T22" s="39">
        <f>1+2+37+17+1+3+14-2+6+1+1-2-1-1-1+2+5+9+11+2+7+15+1+12+1+2+1+3+1+1+1+3-1-1+1+1+2+1-7+1+1-1-1-8+1+9-1+2+1-1-1-1+1+3-1+5+3+1+2-1+4+1-2+1+2+1+1+1+1-8+1+1+1-1-4+2-10-1</f>
        <v>154</v>
      </c>
      <c r="U22" s="38"/>
      <c r="V22" s="38"/>
      <c r="W22" s="40"/>
      <c r="X22" s="36">
        <f aca="true" t="shared" si="15" ref="X22:X29">T22+U22+V22</f>
        <v>154</v>
      </c>
      <c r="Y22" s="38"/>
      <c r="Z22" s="38"/>
      <c r="AA22" s="38"/>
      <c r="AB22" s="40"/>
      <c r="AC22" s="36">
        <f t="shared" si="5"/>
        <v>0</v>
      </c>
      <c r="AD22" s="40">
        <f t="shared" si="8"/>
        <v>154</v>
      </c>
      <c r="AE22" s="40">
        <f t="shared" si="6"/>
        <v>0</v>
      </c>
      <c r="AF22" s="40">
        <f t="shared" si="7"/>
        <v>0</v>
      </c>
      <c r="AG22" s="40">
        <f t="shared" si="9"/>
        <v>0</v>
      </c>
      <c r="AH22" s="36">
        <f aca="true" t="shared" si="16" ref="AH22:AH28">AD22+AE22+AF22</f>
        <v>154</v>
      </c>
      <c r="AJ22" s="34"/>
    </row>
    <row r="23" spans="1:36" s="33" customFormat="1" ht="22.5">
      <c r="A23" s="48">
        <v>17</v>
      </c>
      <c r="B23" s="58" t="s">
        <v>58</v>
      </c>
      <c r="C23" s="52">
        <v>60110900</v>
      </c>
      <c r="D23" s="51" t="s">
        <v>12</v>
      </c>
      <c r="E23" s="38"/>
      <c r="F23" s="38"/>
      <c r="G23" s="38"/>
      <c r="H23" s="87"/>
      <c r="I23" s="44">
        <f t="shared" si="1"/>
        <v>0</v>
      </c>
      <c r="J23" s="38"/>
      <c r="K23" s="38"/>
      <c r="L23" s="38"/>
      <c r="M23" s="38"/>
      <c r="N23" s="44">
        <f t="shared" si="14"/>
        <v>0</v>
      </c>
      <c r="O23" s="38">
        <v>10</v>
      </c>
      <c r="P23" s="38"/>
      <c r="Q23" s="38"/>
      <c r="R23" s="38"/>
      <c r="S23" s="36">
        <f t="shared" si="11"/>
        <v>10</v>
      </c>
      <c r="T23" s="39">
        <f>68+15+11+17+1+1+1+1+1+1-3+1+2-1+12+23+2+17+55+3+6+3-1+1+3+3+5-1+2+1+11+1+1-1-4+1+1+1+3+1-3+1-1+1+1-1-3+10-1-2+1-1+1+1-1+1+3-1-2+5-1+2+1-1-1+1-1-1+1+1+1-1+1-1-8+1-1-11-1-1</f>
        <v>254</v>
      </c>
      <c r="U23" s="38"/>
      <c r="V23" s="38"/>
      <c r="W23" s="40"/>
      <c r="X23" s="36">
        <f t="shared" si="15"/>
        <v>254</v>
      </c>
      <c r="Y23" s="38"/>
      <c r="Z23" s="38"/>
      <c r="AA23" s="38"/>
      <c r="AB23" s="40"/>
      <c r="AC23" s="36">
        <f t="shared" si="5"/>
        <v>0</v>
      </c>
      <c r="AD23" s="40">
        <f t="shared" si="8"/>
        <v>264</v>
      </c>
      <c r="AE23" s="40">
        <f t="shared" si="6"/>
        <v>0</v>
      </c>
      <c r="AF23" s="40">
        <f t="shared" si="7"/>
        <v>0</v>
      </c>
      <c r="AG23" s="40">
        <f t="shared" si="9"/>
        <v>0</v>
      </c>
      <c r="AH23" s="36">
        <f t="shared" si="16"/>
        <v>264</v>
      </c>
      <c r="AJ23" s="34"/>
    </row>
    <row r="24" spans="1:36" s="33" customFormat="1" ht="22.5">
      <c r="A24" s="48">
        <v>18</v>
      </c>
      <c r="B24" s="58" t="s">
        <v>58</v>
      </c>
      <c r="C24" s="52">
        <v>60111000</v>
      </c>
      <c r="D24" s="51" t="s">
        <v>49</v>
      </c>
      <c r="E24" s="38"/>
      <c r="F24" s="38"/>
      <c r="G24" s="38"/>
      <c r="H24" s="38"/>
      <c r="I24" s="44">
        <f t="shared" si="1"/>
        <v>0</v>
      </c>
      <c r="J24" s="38"/>
      <c r="K24" s="38"/>
      <c r="L24" s="38"/>
      <c r="M24" s="38"/>
      <c r="N24" s="44">
        <f t="shared" si="14"/>
        <v>0</v>
      </c>
      <c r="O24" s="38"/>
      <c r="P24" s="38"/>
      <c r="Q24" s="38"/>
      <c r="R24" s="38">
        <v>4</v>
      </c>
      <c r="S24" s="36">
        <f t="shared" si="11"/>
        <v>0</v>
      </c>
      <c r="T24" s="39">
        <f>1+66+9+1+3+16-1+2+2+1-3+1+13+9+6+7+2+2+8-1-1+1-1-2+2-5-1+1-1-1+1+1-1-1+1+2-1+1-1-1-1-4</f>
        <v>132</v>
      </c>
      <c r="U24" s="38"/>
      <c r="V24" s="38"/>
      <c r="W24" s="40"/>
      <c r="X24" s="36">
        <f t="shared" si="15"/>
        <v>132</v>
      </c>
      <c r="Y24" s="38"/>
      <c r="Z24" s="38"/>
      <c r="AA24" s="38"/>
      <c r="AB24" s="40"/>
      <c r="AC24" s="36">
        <f t="shared" si="5"/>
        <v>0</v>
      </c>
      <c r="AD24" s="40">
        <f t="shared" si="8"/>
        <v>132</v>
      </c>
      <c r="AE24" s="40">
        <f t="shared" si="6"/>
        <v>0</v>
      </c>
      <c r="AF24" s="40">
        <f t="shared" si="7"/>
        <v>0</v>
      </c>
      <c r="AG24" s="40">
        <f t="shared" si="9"/>
        <v>4</v>
      </c>
      <c r="AH24" s="36">
        <f t="shared" si="16"/>
        <v>132</v>
      </c>
      <c r="AJ24" s="34"/>
    </row>
    <row r="25" spans="1:36" s="33" customFormat="1" ht="22.5">
      <c r="A25" s="48">
        <v>19</v>
      </c>
      <c r="B25" s="58" t="s">
        <v>58</v>
      </c>
      <c r="C25" s="52">
        <v>60111100</v>
      </c>
      <c r="D25" s="51" t="s">
        <v>11</v>
      </c>
      <c r="E25" s="38"/>
      <c r="F25" s="38"/>
      <c r="G25" s="38"/>
      <c r="H25" s="38"/>
      <c r="I25" s="44">
        <f t="shared" si="1"/>
        <v>0</v>
      </c>
      <c r="J25" s="38"/>
      <c r="K25" s="38"/>
      <c r="L25" s="38"/>
      <c r="M25" s="38"/>
      <c r="N25" s="44">
        <f t="shared" si="14"/>
        <v>0</v>
      </c>
      <c r="O25" s="38">
        <v>30</v>
      </c>
      <c r="P25" s="38"/>
      <c r="Q25" s="38"/>
      <c r="R25" s="38"/>
      <c r="S25" s="36">
        <f t="shared" si="11"/>
        <v>30</v>
      </c>
      <c r="T25" s="39">
        <f>5+4+90+1+10+25+47-4+7+2+3+1+3+74+44+13+10+129+1+1+2+8+7+1-1+8-1-1+1-3-1+1+3+2+1-1+12-1+1+3-16-1+1-1-1+2-1-1+1-14+8-2-2+1+14-1+1+1-2-1+1-10-1-4-2+2-4-5+3-1-1-30</f>
        <v>441</v>
      </c>
      <c r="U25" s="39"/>
      <c r="V25" s="38"/>
      <c r="W25" s="40"/>
      <c r="X25" s="36">
        <f t="shared" si="15"/>
        <v>441</v>
      </c>
      <c r="Y25" s="38"/>
      <c r="Z25" s="38"/>
      <c r="AA25" s="38"/>
      <c r="AB25" s="40"/>
      <c r="AC25" s="36">
        <f t="shared" si="5"/>
        <v>0</v>
      </c>
      <c r="AD25" s="40">
        <f t="shared" si="8"/>
        <v>471</v>
      </c>
      <c r="AE25" s="40">
        <f t="shared" si="6"/>
        <v>0</v>
      </c>
      <c r="AF25" s="40">
        <f t="shared" si="7"/>
        <v>0</v>
      </c>
      <c r="AG25" s="40">
        <f t="shared" si="9"/>
        <v>0</v>
      </c>
      <c r="AH25" s="36">
        <f t="shared" si="16"/>
        <v>471</v>
      </c>
      <c r="AJ25" s="34"/>
    </row>
    <row r="26" spans="1:36" s="33" customFormat="1" ht="22.5">
      <c r="A26" s="48">
        <v>20</v>
      </c>
      <c r="B26" s="58" t="s">
        <v>58</v>
      </c>
      <c r="C26" s="52">
        <v>60110500</v>
      </c>
      <c r="D26" s="51" t="s">
        <v>50</v>
      </c>
      <c r="E26" s="38"/>
      <c r="F26" s="38"/>
      <c r="G26" s="38"/>
      <c r="H26" s="87"/>
      <c r="I26" s="44">
        <f t="shared" si="1"/>
        <v>0</v>
      </c>
      <c r="J26" s="38"/>
      <c r="K26" s="38"/>
      <c r="L26" s="38"/>
      <c r="M26" s="39"/>
      <c r="N26" s="44">
        <f t="shared" si="14"/>
        <v>0</v>
      </c>
      <c r="O26" s="38">
        <v>34</v>
      </c>
      <c r="P26" s="38"/>
      <c r="Q26" s="38"/>
      <c r="R26" s="38"/>
      <c r="S26" s="36">
        <f t="shared" si="11"/>
        <v>34</v>
      </c>
      <c r="T26" s="39">
        <f>1+4+233+3+29+62+1+130-1+26+1-1+5+3+1+1-1+1+1-7+2+3-1+99+108+20+8+1+26+188-1+7+26+43-2-1+8-3+1-1-8+2+1+12+1+1-2+13+1+3-2-4+14-1-12+9+1-1-1-1+2-1+1-9+45+1-5+1+1-1-1+13+6+1-1-1+11-1+2+1+18-1+1+3+3-1+2+1-4-1+1-1+2+1+4-10+1+2+1+2-3-1+1+1-3+1-1-2-2-6-1+2-1-1-35-1-1+1-1+1</f>
        <v>1086</v>
      </c>
      <c r="U26" s="39">
        <f>20+5-1+1-1</f>
        <v>24</v>
      </c>
      <c r="V26" s="38"/>
      <c r="W26" s="40"/>
      <c r="X26" s="36">
        <f t="shared" si="15"/>
        <v>1110</v>
      </c>
      <c r="Y26" s="38"/>
      <c r="Z26" s="38"/>
      <c r="AA26" s="38"/>
      <c r="AB26" s="40"/>
      <c r="AC26" s="36">
        <f t="shared" si="5"/>
        <v>0</v>
      </c>
      <c r="AD26" s="40">
        <f t="shared" si="8"/>
        <v>1120</v>
      </c>
      <c r="AE26" s="40">
        <f t="shared" si="6"/>
        <v>24</v>
      </c>
      <c r="AF26" s="40">
        <f t="shared" si="7"/>
        <v>0</v>
      </c>
      <c r="AG26" s="40">
        <f t="shared" si="9"/>
        <v>0</v>
      </c>
      <c r="AH26" s="36">
        <f t="shared" si="16"/>
        <v>1144</v>
      </c>
      <c r="AJ26" s="34"/>
    </row>
    <row r="27" spans="1:36" s="33" customFormat="1" ht="12.75">
      <c r="A27" s="48">
        <v>21</v>
      </c>
      <c r="B27" s="57" t="s">
        <v>45</v>
      </c>
      <c r="C27" s="52">
        <v>60540100</v>
      </c>
      <c r="D27" s="51" t="s">
        <v>51</v>
      </c>
      <c r="E27" s="38">
        <f>8+9+1+20+1+10+2</f>
        <v>51</v>
      </c>
      <c r="F27" s="38"/>
      <c r="G27" s="38"/>
      <c r="H27" s="38"/>
      <c r="I27" s="44">
        <f t="shared" si="1"/>
        <v>51</v>
      </c>
      <c r="J27" s="38">
        <f>1+10+4+8+1+3+1+1+1-2-1+1-2-1</f>
        <v>25</v>
      </c>
      <c r="K27" s="38"/>
      <c r="L27" s="38"/>
      <c r="M27" s="38"/>
      <c r="N27" s="44">
        <f t="shared" si="14"/>
        <v>25</v>
      </c>
      <c r="O27" s="38">
        <v>18</v>
      </c>
      <c r="P27" s="38"/>
      <c r="Q27" s="38"/>
      <c r="R27" s="38"/>
      <c r="S27" s="36">
        <f t="shared" si="11"/>
        <v>18</v>
      </c>
      <c r="T27" s="39">
        <f>41+10+1+5+2+1+1-1+1+2+3+6+11-1+4+1-2+1+1+1-1-1+1-2+1+2+1+1+1+2+1-1-1+1-4+1-2-1-8-1-1-1</f>
        <v>76</v>
      </c>
      <c r="U27" s="38"/>
      <c r="V27" s="38"/>
      <c r="W27" s="40"/>
      <c r="X27" s="36">
        <f t="shared" si="15"/>
        <v>76</v>
      </c>
      <c r="Y27" s="38"/>
      <c r="Z27" s="38"/>
      <c r="AA27" s="38"/>
      <c r="AB27" s="40"/>
      <c r="AC27" s="36">
        <f t="shared" si="5"/>
        <v>0</v>
      </c>
      <c r="AD27" s="40">
        <f t="shared" si="8"/>
        <v>170</v>
      </c>
      <c r="AE27" s="40">
        <f t="shared" si="6"/>
        <v>0</v>
      </c>
      <c r="AF27" s="40">
        <f t="shared" si="7"/>
        <v>0</v>
      </c>
      <c r="AG27" s="40">
        <f t="shared" si="9"/>
        <v>0</v>
      </c>
      <c r="AH27" s="36">
        <f t="shared" si="16"/>
        <v>170</v>
      </c>
      <c r="AJ27" s="34"/>
    </row>
    <row r="28" spans="1:36" s="33" customFormat="1" ht="12.75">
      <c r="A28" s="48">
        <v>22</v>
      </c>
      <c r="B28" s="57" t="s">
        <v>43</v>
      </c>
      <c r="C28" s="52">
        <v>60411400</v>
      </c>
      <c r="D28" s="51" t="s">
        <v>53</v>
      </c>
      <c r="E28" s="38"/>
      <c r="F28" s="38"/>
      <c r="G28" s="38"/>
      <c r="H28" s="38"/>
      <c r="I28" s="44">
        <f t="shared" si="1"/>
        <v>0</v>
      </c>
      <c r="J28" s="38"/>
      <c r="K28" s="38"/>
      <c r="L28" s="38"/>
      <c r="M28" s="38"/>
      <c r="N28" s="44">
        <f t="shared" si="14"/>
        <v>0</v>
      </c>
      <c r="O28" s="38">
        <f>22+1+1+2+1+1+1+1-1-1-1-2+1</f>
        <v>26</v>
      </c>
      <c r="P28" s="38"/>
      <c r="Q28" s="38"/>
      <c r="R28" s="38"/>
      <c r="S28" s="36">
        <f t="shared" si="11"/>
        <v>26</v>
      </c>
      <c r="T28" s="39">
        <f>1+1+2+19+7+10+1+1-7+2+1-1-1-4-2+2+1+1-1-1</f>
        <v>32</v>
      </c>
      <c r="U28" s="38"/>
      <c r="V28" s="38"/>
      <c r="W28" s="40"/>
      <c r="X28" s="36">
        <f t="shared" si="15"/>
        <v>32</v>
      </c>
      <c r="Y28" s="38"/>
      <c r="Z28" s="38"/>
      <c r="AA28" s="38"/>
      <c r="AB28" s="40"/>
      <c r="AC28" s="36">
        <f t="shared" si="5"/>
        <v>0</v>
      </c>
      <c r="AD28" s="40">
        <f t="shared" si="8"/>
        <v>58</v>
      </c>
      <c r="AE28" s="40">
        <f t="shared" si="6"/>
        <v>0</v>
      </c>
      <c r="AF28" s="40">
        <f t="shared" si="7"/>
        <v>0</v>
      </c>
      <c r="AG28" s="40">
        <f t="shared" si="9"/>
        <v>0</v>
      </c>
      <c r="AH28" s="36">
        <f t="shared" si="16"/>
        <v>58</v>
      </c>
      <c r="AJ28" s="34"/>
    </row>
    <row r="29" spans="1:36" s="33" customFormat="1" ht="12.75">
      <c r="A29" s="48">
        <v>23</v>
      </c>
      <c r="B29" s="61" t="s">
        <v>33</v>
      </c>
      <c r="C29" s="52">
        <v>60920100</v>
      </c>
      <c r="D29" s="51" t="s">
        <v>54</v>
      </c>
      <c r="E29" s="38"/>
      <c r="F29" s="38"/>
      <c r="G29" s="38"/>
      <c r="H29" s="38"/>
      <c r="I29" s="44">
        <f t="shared" si="1"/>
        <v>0</v>
      </c>
      <c r="J29" s="38"/>
      <c r="K29" s="38"/>
      <c r="L29" s="38"/>
      <c r="M29" s="38">
        <v>1</v>
      </c>
      <c r="N29" s="44">
        <f t="shared" si="14"/>
        <v>0</v>
      </c>
      <c r="O29" s="38">
        <f>21+1+3+2+1-1+1+2-2-1</f>
        <v>27</v>
      </c>
      <c r="P29" s="38"/>
      <c r="Q29" s="38"/>
      <c r="R29" s="38"/>
      <c r="S29" s="36">
        <f t="shared" si="11"/>
        <v>27</v>
      </c>
      <c r="T29" s="38"/>
      <c r="U29" s="38"/>
      <c r="V29" s="38"/>
      <c r="W29" s="40"/>
      <c r="X29" s="36">
        <f t="shared" si="15"/>
        <v>0</v>
      </c>
      <c r="Y29" s="38"/>
      <c r="Z29" s="38"/>
      <c r="AA29" s="38"/>
      <c r="AB29" s="40"/>
      <c r="AC29" s="36">
        <f t="shared" si="5"/>
        <v>0</v>
      </c>
      <c r="AD29" s="40">
        <f t="shared" si="8"/>
        <v>27</v>
      </c>
      <c r="AE29" s="40">
        <f t="shared" si="6"/>
        <v>0</v>
      </c>
      <c r="AF29" s="40">
        <f t="shared" si="7"/>
        <v>0</v>
      </c>
      <c r="AG29" s="40">
        <f t="shared" si="9"/>
        <v>1</v>
      </c>
      <c r="AH29" s="36">
        <f>AD29+AE29+AF29</f>
        <v>27</v>
      </c>
      <c r="AJ29" s="34"/>
    </row>
    <row r="30" spans="1:36" s="33" customFormat="1" ht="12.75">
      <c r="A30" s="48">
        <v>23</v>
      </c>
      <c r="B30" s="57" t="s">
        <v>57</v>
      </c>
      <c r="C30" s="52">
        <v>60420100</v>
      </c>
      <c r="D30" s="51" t="s">
        <v>55</v>
      </c>
      <c r="E30" s="38"/>
      <c r="F30" s="38"/>
      <c r="G30" s="38"/>
      <c r="H30" s="38">
        <v>9</v>
      </c>
      <c r="I30" s="44">
        <f>E30+F30+G30</f>
        <v>0</v>
      </c>
      <c r="J30" s="38">
        <f>3+16+15+20-1+3+6+1+13+1-1-1-9+1+20</f>
        <v>87</v>
      </c>
      <c r="K30" s="38"/>
      <c r="L30" s="38"/>
      <c r="M30" s="38"/>
      <c r="N30" s="44">
        <f>J30+K30+L30</f>
        <v>87</v>
      </c>
      <c r="O30" s="38">
        <f>33-5-20+66</f>
        <v>74</v>
      </c>
      <c r="P30" s="38"/>
      <c r="Q30" s="38"/>
      <c r="R30" s="38"/>
      <c r="S30" s="36">
        <f>O30+P30+Q30</f>
        <v>74</v>
      </c>
      <c r="T30" s="39">
        <f>115+1+247+47-35+6+5+3+34-1+4-2+1-8-2+2-1-1-2-1+2-38+1-1-7-1-23+2-14-2-1-6-66</f>
        <v>258</v>
      </c>
      <c r="U30" s="39">
        <f>35+1-1</f>
        <v>35</v>
      </c>
      <c r="V30" s="38"/>
      <c r="W30" s="40"/>
      <c r="X30" s="36">
        <f>T30+U30+V30</f>
        <v>293</v>
      </c>
      <c r="Y30" s="38"/>
      <c r="Z30" s="38"/>
      <c r="AA30" s="38"/>
      <c r="AB30" s="40"/>
      <c r="AC30" s="36">
        <f>Y30+Z30+AA30</f>
        <v>0</v>
      </c>
      <c r="AD30" s="40">
        <f t="shared" si="8"/>
        <v>419</v>
      </c>
      <c r="AE30" s="40">
        <f t="shared" si="6"/>
        <v>35</v>
      </c>
      <c r="AF30" s="40">
        <f t="shared" si="7"/>
        <v>0</v>
      </c>
      <c r="AG30" s="40">
        <f t="shared" si="9"/>
        <v>9</v>
      </c>
      <c r="AH30" s="36">
        <f>AD30+AE30+AF30</f>
        <v>454</v>
      </c>
      <c r="AJ30" s="34"/>
    </row>
    <row r="31" spans="1:36" s="33" customFormat="1" ht="12.75">
      <c r="A31" s="48">
        <v>24.2</v>
      </c>
      <c r="B31" s="57"/>
      <c r="C31" s="50">
        <v>60230100</v>
      </c>
      <c r="D31" s="51" t="s">
        <v>60</v>
      </c>
      <c r="E31" s="38"/>
      <c r="F31" s="38"/>
      <c r="G31" s="38"/>
      <c r="H31" s="38">
        <v>7</v>
      </c>
      <c r="I31" s="44">
        <f aca="true" t="shared" si="17" ref="I31:I39">E31+F31+G31</f>
        <v>0</v>
      </c>
      <c r="J31" s="38"/>
      <c r="K31" s="38">
        <f>3+21+10-1+7+1+1+1+4+1-1-1-7</f>
        <v>39</v>
      </c>
      <c r="L31" s="38"/>
      <c r="M31" s="38"/>
      <c r="N31" s="44">
        <f aca="true" t="shared" si="18" ref="N31:N39">J31+K31+L31</f>
        <v>39</v>
      </c>
      <c r="O31" s="38"/>
      <c r="P31" s="38"/>
      <c r="Q31" s="38"/>
      <c r="R31" s="38"/>
      <c r="S31" s="36">
        <f aca="true" t="shared" si="19" ref="S31:S39">O31+P31+Q31</f>
        <v>0</v>
      </c>
      <c r="T31" s="38"/>
      <c r="U31" s="38"/>
      <c r="V31" s="38"/>
      <c r="W31" s="40"/>
      <c r="X31" s="36">
        <f aca="true" t="shared" si="20" ref="X31:X39">T31+U31+V31</f>
        <v>0</v>
      </c>
      <c r="Y31" s="38"/>
      <c r="Z31" s="38"/>
      <c r="AA31" s="38"/>
      <c r="AB31" s="40"/>
      <c r="AC31" s="36">
        <f aca="true" t="shared" si="21" ref="AC31:AC39">Y31+Z31+AA31</f>
        <v>0</v>
      </c>
      <c r="AD31" s="40">
        <f aca="true" t="shared" si="22" ref="AD31:AD39">J31+O31+T31+E31+Y31</f>
        <v>0</v>
      </c>
      <c r="AE31" s="40">
        <f aca="true" t="shared" si="23" ref="AE31:AE39">K31+P31+U31+F31+Z31</f>
        <v>39</v>
      </c>
      <c r="AF31" s="40">
        <f aca="true" t="shared" si="24" ref="AF31:AF39">L31+Q31+V31+G31+AA31</f>
        <v>0</v>
      </c>
      <c r="AG31" s="40">
        <f t="shared" si="9"/>
        <v>7</v>
      </c>
      <c r="AH31" s="36">
        <f aca="true" t="shared" si="25" ref="AH31:AH39">AD31+AE31+AF31</f>
        <v>39</v>
      </c>
      <c r="AJ31" s="34"/>
    </row>
    <row r="32" spans="1:36" s="33" customFormat="1" ht="12.75">
      <c r="A32" s="48">
        <v>25</v>
      </c>
      <c r="B32" s="57"/>
      <c r="C32" s="50">
        <v>60230100</v>
      </c>
      <c r="D32" s="51" t="s">
        <v>61</v>
      </c>
      <c r="E32" s="38"/>
      <c r="F32" s="38"/>
      <c r="G32" s="38"/>
      <c r="H32" s="38">
        <v>6</v>
      </c>
      <c r="I32" s="44">
        <f t="shared" si="17"/>
        <v>0</v>
      </c>
      <c r="J32" s="38"/>
      <c r="K32" s="38"/>
      <c r="L32" s="38">
        <f>5+5+9+1+3+1-1-2+1-6</f>
        <v>16</v>
      </c>
      <c r="M32" s="38"/>
      <c r="N32" s="44">
        <f t="shared" si="18"/>
        <v>16</v>
      </c>
      <c r="O32" s="38"/>
      <c r="P32" s="38"/>
      <c r="Q32" s="38"/>
      <c r="R32" s="38"/>
      <c r="S32" s="36">
        <f t="shared" si="19"/>
        <v>0</v>
      </c>
      <c r="T32" s="38"/>
      <c r="U32" s="38"/>
      <c r="V32" s="38"/>
      <c r="W32" s="40"/>
      <c r="X32" s="36">
        <f t="shared" si="20"/>
        <v>0</v>
      </c>
      <c r="Y32" s="38"/>
      <c r="Z32" s="38"/>
      <c r="AA32" s="38"/>
      <c r="AB32" s="40"/>
      <c r="AC32" s="36">
        <f t="shared" si="21"/>
        <v>0</v>
      </c>
      <c r="AD32" s="40">
        <f t="shared" si="22"/>
        <v>0</v>
      </c>
      <c r="AE32" s="40">
        <f t="shared" si="23"/>
        <v>0</v>
      </c>
      <c r="AF32" s="40">
        <f t="shared" si="24"/>
        <v>16</v>
      </c>
      <c r="AG32" s="40">
        <f t="shared" si="9"/>
        <v>6</v>
      </c>
      <c r="AH32" s="36">
        <f t="shared" si="25"/>
        <v>16</v>
      </c>
      <c r="AJ32" s="34"/>
    </row>
    <row r="33" spans="1:36" s="33" customFormat="1" ht="22.5">
      <c r="A33" s="48">
        <v>25.8</v>
      </c>
      <c r="B33" s="57"/>
      <c r="C33" s="50">
        <v>60310500</v>
      </c>
      <c r="D33" s="51" t="s">
        <v>62</v>
      </c>
      <c r="E33" s="38"/>
      <c r="F33" s="38"/>
      <c r="G33" s="38"/>
      <c r="H33" s="38"/>
      <c r="I33" s="44">
        <f t="shared" si="17"/>
        <v>0</v>
      </c>
      <c r="J33" s="38">
        <f>8+4+9+1+2-4-4</f>
        <v>16</v>
      </c>
      <c r="K33" s="38"/>
      <c r="L33" s="38"/>
      <c r="M33" s="38"/>
      <c r="N33" s="44">
        <f t="shared" si="18"/>
        <v>16</v>
      </c>
      <c r="O33" s="38"/>
      <c r="P33" s="38"/>
      <c r="Q33" s="38"/>
      <c r="R33" s="38"/>
      <c r="S33" s="36">
        <f t="shared" si="19"/>
        <v>0</v>
      </c>
      <c r="T33" s="38"/>
      <c r="U33" s="38"/>
      <c r="V33" s="38"/>
      <c r="W33" s="40"/>
      <c r="X33" s="36">
        <f t="shared" si="20"/>
        <v>0</v>
      </c>
      <c r="Y33" s="38"/>
      <c r="Z33" s="38"/>
      <c r="AA33" s="38"/>
      <c r="AB33" s="40"/>
      <c r="AC33" s="36">
        <f t="shared" si="21"/>
        <v>0</v>
      </c>
      <c r="AD33" s="40">
        <f t="shared" si="22"/>
        <v>16</v>
      </c>
      <c r="AE33" s="40">
        <f t="shared" si="23"/>
        <v>0</v>
      </c>
      <c r="AF33" s="40">
        <f t="shared" si="24"/>
        <v>0</v>
      </c>
      <c r="AG33" s="40">
        <f t="shared" si="9"/>
        <v>0</v>
      </c>
      <c r="AH33" s="36">
        <f t="shared" si="25"/>
        <v>16</v>
      </c>
      <c r="AJ33" s="34"/>
    </row>
    <row r="34" spans="1:36" s="33" customFormat="1" ht="12.75">
      <c r="A34" s="48">
        <v>26.6</v>
      </c>
      <c r="B34" s="57"/>
      <c r="C34" s="50">
        <v>60540200</v>
      </c>
      <c r="D34" s="51" t="s">
        <v>63</v>
      </c>
      <c r="E34" s="38">
        <f>1+9+8+1+19+1+13+1</f>
        <v>53</v>
      </c>
      <c r="F34" s="38"/>
      <c r="G34" s="38"/>
      <c r="H34" s="38"/>
      <c r="I34" s="44">
        <f t="shared" si="17"/>
        <v>53</v>
      </c>
      <c r="J34" s="38">
        <f>5+9+9+1+1-1-4-1</f>
        <v>19</v>
      </c>
      <c r="K34" s="38"/>
      <c r="L34" s="38"/>
      <c r="M34" s="38"/>
      <c r="N34" s="44">
        <f t="shared" si="18"/>
        <v>19</v>
      </c>
      <c r="O34" s="38"/>
      <c r="P34" s="38"/>
      <c r="Q34" s="38"/>
      <c r="R34" s="38"/>
      <c r="S34" s="36">
        <f t="shared" si="19"/>
        <v>0</v>
      </c>
      <c r="T34" s="38"/>
      <c r="U34" s="38"/>
      <c r="V34" s="38"/>
      <c r="W34" s="40"/>
      <c r="X34" s="36">
        <f t="shared" si="20"/>
        <v>0</v>
      </c>
      <c r="Y34" s="38"/>
      <c r="Z34" s="38"/>
      <c r="AA34" s="38"/>
      <c r="AB34" s="40"/>
      <c r="AC34" s="36">
        <f t="shared" si="21"/>
        <v>0</v>
      </c>
      <c r="AD34" s="40">
        <f t="shared" si="22"/>
        <v>72</v>
      </c>
      <c r="AE34" s="40">
        <f t="shared" si="23"/>
        <v>0</v>
      </c>
      <c r="AF34" s="40">
        <f t="shared" si="24"/>
        <v>0</v>
      </c>
      <c r="AG34" s="40">
        <f t="shared" si="9"/>
        <v>0</v>
      </c>
      <c r="AH34" s="36">
        <f t="shared" si="25"/>
        <v>72</v>
      </c>
      <c r="AJ34" s="34"/>
    </row>
    <row r="35" spans="1:36" s="33" customFormat="1" ht="27.75" customHeight="1">
      <c r="A35" s="67"/>
      <c r="B35" s="68"/>
      <c r="C35" s="90" t="s">
        <v>70</v>
      </c>
      <c r="D35" s="90"/>
      <c r="E35" s="65">
        <f>+E36+E37+E38+E39</f>
        <v>0</v>
      </c>
      <c r="F35" s="65">
        <f aca="true" t="shared" si="26" ref="F35:AH35">+F36+F37+F38+F39</f>
        <v>0</v>
      </c>
      <c r="G35" s="65">
        <f t="shared" si="26"/>
        <v>0</v>
      </c>
      <c r="H35" s="65">
        <f>+H36+H37+H38+H39</f>
        <v>0</v>
      </c>
      <c r="I35" s="65">
        <f t="shared" si="26"/>
        <v>0</v>
      </c>
      <c r="J35" s="65">
        <f t="shared" si="26"/>
        <v>76</v>
      </c>
      <c r="K35" s="65">
        <f t="shared" si="26"/>
        <v>0</v>
      </c>
      <c r="L35" s="65">
        <f t="shared" si="26"/>
        <v>0</v>
      </c>
      <c r="M35" s="65">
        <f>+M36+M37+M38+M39</f>
        <v>0</v>
      </c>
      <c r="N35" s="65">
        <f t="shared" si="26"/>
        <v>76</v>
      </c>
      <c r="O35" s="65">
        <f t="shared" si="26"/>
        <v>0</v>
      </c>
      <c r="P35" s="65">
        <f t="shared" si="26"/>
        <v>0</v>
      </c>
      <c r="Q35" s="65">
        <f t="shared" si="26"/>
        <v>0</v>
      </c>
      <c r="R35" s="65">
        <f>+R36+R37+R38+R39</f>
        <v>0</v>
      </c>
      <c r="S35" s="65">
        <f t="shared" si="26"/>
        <v>0</v>
      </c>
      <c r="T35" s="65">
        <f t="shared" si="26"/>
        <v>0</v>
      </c>
      <c r="U35" s="65">
        <f t="shared" si="26"/>
        <v>0</v>
      </c>
      <c r="V35" s="65">
        <f t="shared" si="26"/>
        <v>0</v>
      </c>
      <c r="W35" s="65">
        <f>+W36+W37+W38+W39</f>
        <v>0</v>
      </c>
      <c r="X35" s="65">
        <f t="shared" si="26"/>
        <v>0</v>
      </c>
      <c r="Y35" s="65">
        <f t="shared" si="26"/>
        <v>0</v>
      </c>
      <c r="Z35" s="65">
        <f t="shared" si="26"/>
        <v>0</v>
      </c>
      <c r="AA35" s="65">
        <f t="shared" si="26"/>
        <v>0</v>
      </c>
      <c r="AB35" s="65">
        <f t="shared" si="26"/>
        <v>0</v>
      </c>
      <c r="AC35" s="65">
        <f t="shared" si="26"/>
        <v>0</v>
      </c>
      <c r="AD35" s="65">
        <f t="shared" si="26"/>
        <v>76</v>
      </c>
      <c r="AE35" s="65">
        <f t="shared" si="26"/>
        <v>0</v>
      </c>
      <c r="AF35" s="65">
        <f t="shared" si="26"/>
        <v>0</v>
      </c>
      <c r="AG35" s="65">
        <f t="shared" si="26"/>
        <v>0</v>
      </c>
      <c r="AH35" s="65">
        <f t="shared" si="26"/>
        <v>76</v>
      </c>
      <c r="AJ35" s="34"/>
    </row>
    <row r="36" spans="1:36" s="33" customFormat="1" ht="12.75">
      <c r="A36" s="48">
        <v>27.4</v>
      </c>
      <c r="B36" s="57"/>
      <c r="C36" s="50">
        <v>60811500</v>
      </c>
      <c r="D36" s="51" t="s">
        <v>64</v>
      </c>
      <c r="E36" s="38"/>
      <c r="F36" s="38"/>
      <c r="G36" s="38"/>
      <c r="H36" s="38"/>
      <c r="I36" s="44">
        <f t="shared" si="17"/>
        <v>0</v>
      </c>
      <c r="J36" s="38">
        <f>5+6+6+3+4+1-1-1-1</f>
        <v>22</v>
      </c>
      <c r="K36" s="38"/>
      <c r="L36" s="38"/>
      <c r="M36" s="38"/>
      <c r="N36" s="44">
        <f t="shared" si="18"/>
        <v>22</v>
      </c>
      <c r="O36" s="38"/>
      <c r="P36" s="38"/>
      <c r="Q36" s="38"/>
      <c r="R36" s="38"/>
      <c r="S36" s="36">
        <f t="shared" si="19"/>
        <v>0</v>
      </c>
      <c r="T36" s="38"/>
      <c r="U36" s="38"/>
      <c r="V36" s="38"/>
      <c r="W36" s="40"/>
      <c r="X36" s="36">
        <f t="shared" si="20"/>
        <v>0</v>
      </c>
      <c r="Y36" s="40"/>
      <c r="Z36" s="40"/>
      <c r="AA36" s="40"/>
      <c r="AB36" s="40"/>
      <c r="AC36" s="36">
        <f t="shared" si="21"/>
        <v>0</v>
      </c>
      <c r="AD36" s="40">
        <f t="shared" si="22"/>
        <v>22</v>
      </c>
      <c r="AE36" s="40">
        <f t="shared" si="23"/>
        <v>0</v>
      </c>
      <c r="AF36" s="40">
        <f t="shared" si="24"/>
        <v>0</v>
      </c>
      <c r="AG36" s="40">
        <f t="shared" si="9"/>
        <v>0</v>
      </c>
      <c r="AH36" s="36">
        <f t="shared" si="25"/>
        <v>22</v>
      </c>
      <c r="AJ36" s="34"/>
    </row>
    <row r="37" spans="1:36" s="33" customFormat="1" ht="12.75">
      <c r="A37" s="48">
        <v>28.2</v>
      </c>
      <c r="B37" s="57"/>
      <c r="C37" s="50">
        <v>60811800</v>
      </c>
      <c r="D37" s="51" t="s">
        <v>65</v>
      </c>
      <c r="E37" s="38"/>
      <c r="F37" s="38"/>
      <c r="G37" s="38"/>
      <c r="H37" s="38"/>
      <c r="I37" s="44">
        <f t="shared" si="17"/>
        <v>0</v>
      </c>
      <c r="J37" s="38">
        <f>5+4+1+3-1+2-1-1+1-1-1+2</f>
        <v>13</v>
      </c>
      <c r="K37" s="38"/>
      <c r="L37" s="38"/>
      <c r="M37" s="38"/>
      <c r="N37" s="44">
        <f t="shared" si="18"/>
        <v>13</v>
      </c>
      <c r="O37" s="38"/>
      <c r="P37" s="38"/>
      <c r="Q37" s="38"/>
      <c r="R37" s="38"/>
      <c r="S37" s="36">
        <f t="shared" si="19"/>
        <v>0</v>
      </c>
      <c r="T37" s="38"/>
      <c r="U37" s="38"/>
      <c r="V37" s="38"/>
      <c r="W37" s="40"/>
      <c r="X37" s="36">
        <f t="shared" si="20"/>
        <v>0</v>
      </c>
      <c r="Y37" s="40"/>
      <c r="Z37" s="40"/>
      <c r="AA37" s="40"/>
      <c r="AB37" s="40"/>
      <c r="AC37" s="36">
        <f t="shared" si="21"/>
        <v>0</v>
      </c>
      <c r="AD37" s="40">
        <f t="shared" si="22"/>
        <v>13</v>
      </c>
      <c r="AE37" s="40">
        <f t="shared" si="23"/>
        <v>0</v>
      </c>
      <c r="AF37" s="40">
        <f t="shared" si="24"/>
        <v>0</v>
      </c>
      <c r="AG37" s="40">
        <f t="shared" si="9"/>
        <v>0</v>
      </c>
      <c r="AH37" s="36">
        <f t="shared" si="25"/>
        <v>13</v>
      </c>
      <c r="AJ37" s="34"/>
    </row>
    <row r="38" spans="1:36" s="33" customFormat="1" ht="12.75">
      <c r="A38" s="48">
        <v>29</v>
      </c>
      <c r="B38" s="57"/>
      <c r="C38" s="50">
        <v>60811900</v>
      </c>
      <c r="D38" s="51" t="s">
        <v>66</v>
      </c>
      <c r="E38" s="38"/>
      <c r="F38" s="38"/>
      <c r="G38" s="38"/>
      <c r="H38" s="38"/>
      <c r="I38" s="44">
        <f t="shared" si="17"/>
        <v>0</v>
      </c>
      <c r="J38" s="38">
        <f>4+3+8+1+1+1-1-1+2-1+2</f>
        <v>19</v>
      </c>
      <c r="K38" s="38"/>
      <c r="L38" s="38"/>
      <c r="M38" s="38"/>
      <c r="N38" s="44">
        <f t="shared" si="18"/>
        <v>19</v>
      </c>
      <c r="O38" s="38"/>
      <c r="P38" s="38"/>
      <c r="Q38" s="38"/>
      <c r="R38" s="38"/>
      <c r="S38" s="36">
        <f t="shared" si="19"/>
        <v>0</v>
      </c>
      <c r="T38" s="38"/>
      <c r="U38" s="38"/>
      <c r="V38" s="38"/>
      <c r="W38" s="40"/>
      <c r="X38" s="36">
        <f t="shared" si="20"/>
        <v>0</v>
      </c>
      <c r="Y38" s="40"/>
      <c r="Z38" s="40"/>
      <c r="AA38" s="40"/>
      <c r="AB38" s="40"/>
      <c r="AC38" s="36">
        <f t="shared" si="21"/>
        <v>0</v>
      </c>
      <c r="AD38" s="40">
        <f t="shared" si="22"/>
        <v>19</v>
      </c>
      <c r="AE38" s="40">
        <f t="shared" si="23"/>
        <v>0</v>
      </c>
      <c r="AF38" s="40">
        <f t="shared" si="24"/>
        <v>0</v>
      </c>
      <c r="AG38" s="40">
        <f t="shared" si="9"/>
        <v>0</v>
      </c>
      <c r="AH38" s="36">
        <f t="shared" si="25"/>
        <v>19</v>
      </c>
      <c r="AJ38" s="34"/>
    </row>
    <row r="39" spans="1:36" s="33" customFormat="1" ht="12.75">
      <c r="A39" s="48">
        <v>29.8</v>
      </c>
      <c r="B39" s="57"/>
      <c r="C39" s="50">
        <v>60812000</v>
      </c>
      <c r="D39" s="51" t="s">
        <v>67</v>
      </c>
      <c r="E39" s="38"/>
      <c r="F39" s="38"/>
      <c r="G39" s="38"/>
      <c r="H39" s="38"/>
      <c r="I39" s="44">
        <f t="shared" si="17"/>
        <v>0</v>
      </c>
      <c r="J39" s="38">
        <f>2+6+8+1-1+4+2</f>
        <v>22</v>
      </c>
      <c r="K39" s="38"/>
      <c r="L39" s="38"/>
      <c r="M39" s="38"/>
      <c r="N39" s="44">
        <f t="shared" si="18"/>
        <v>22</v>
      </c>
      <c r="O39" s="38"/>
      <c r="P39" s="38"/>
      <c r="Q39" s="38"/>
      <c r="R39" s="38"/>
      <c r="S39" s="36">
        <f t="shared" si="19"/>
        <v>0</v>
      </c>
      <c r="T39" s="38"/>
      <c r="U39" s="38"/>
      <c r="V39" s="38"/>
      <c r="W39" s="40"/>
      <c r="X39" s="36">
        <f t="shared" si="20"/>
        <v>0</v>
      </c>
      <c r="Y39" s="40"/>
      <c r="Z39" s="40"/>
      <c r="AA39" s="40"/>
      <c r="AB39" s="40"/>
      <c r="AC39" s="36">
        <f t="shared" si="21"/>
        <v>0</v>
      </c>
      <c r="AD39" s="40">
        <f t="shared" si="22"/>
        <v>22</v>
      </c>
      <c r="AE39" s="40">
        <f t="shared" si="23"/>
        <v>0</v>
      </c>
      <c r="AF39" s="40">
        <f t="shared" si="24"/>
        <v>0</v>
      </c>
      <c r="AG39" s="40">
        <f t="shared" si="9"/>
        <v>0</v>
      </c>
      <c r="AH39" s="36">
        <f t="shared" si="25"/>
        <v>22</v>
      </c>
      <c r="AJ39" s="34"/>
    </row>
    <row r="40" spans="1:34" ht="12.75">
      <c r="A40" s="25"/>
      <c r="B40" s="25"/>
      <c r="C40" s="45"/>
      <c r="D40" s="25" t="s">
        <v>5</v>
      </c>
      <c r="E40" s="26">
        <f>+E35+E6</f>
        <v>348</v>
      </c>
      <c r="F40" s="26">
        <f aca="true" t="shared" si="27" ref="F40:AH40">+F35+F6</f>
        <v>0</v>
      </c>
      <c r="G40" s="26">
        <f t="shared" si="27"/>
        <v>0</v>
      </c>
      <c r="H40" s="26">
        <f>+H35+H6</f>
        <v>22</v>
      </c>
      <c r="I40" s="26">
        <f>+I35+I6</f>
        <v>348</v>
      </c>
      <c r="J40" s="26">
        <f t="shared" si="27"/>
        <v>300</v>
      </c>
      <c r="K40" s="26">
        <f t="shared" si="27"/>
        <v>39</v>
      </c>
      <c r="L40" s="26">
        <f t="shared" si="27"/>
        <v>16</v>
      </c>
      <c r="M40" s="26">
        <f t="shared" si="27"/>
        <v>8</v>
      </c>
      <c r="N40" s="26">
        <f t="shared" si="27"/>
        <v>355</v>
      </c>
      <c r="O40" s="26">
        <f t="shared" si="27"/>
        <v>496</v>
      </c>
      <c r="P40" s="26">
        <f t="shared" si="27"/>
        <v>0</v>
      </c>
      <c r="Q40" s="26">
        <f t="shared" si="27"/>
        <v>0</v>
      </c>
      <c r="R40" s="26">
        <f t="shared" si="27"/>
        <v>18</v>
      </c>
      <c r="S40" s="26">
        <f t="shared" si="27"/>
        <v>496</v>
      </c>
      <c r="T40" s="26">
        <f>+T35+T6</f>
        <v>4003</v>
      </c>
      <c r="U40" s="26">
        <f t="shared" si="27"/>
        <v>113</v>
      </c>
      <c r="V40" s="26">
        <f t="shared" si="27"/>
        <v>0</v>
      </c>
      <c r="W40" s="26">
        <f t="shared" si="27"/>
        <v>6</v>
      </c>
      <c r="X40" s="26">
        <f t="shared" si="27"/>
        <v>4116</v>
      </c>
      <c r="Y40" s="26">
        <f t="shared" si="27"/>
        <v>1848</v>
      </c>
      <c r="Z40" s="26">
        <f t="shared" si="27"/>
        <v>54</v>
      </c>
      <c r="AA40" s="26">
        <f t="shared" si="27"/>
        <v>0</v>
      </c>
      <c r="AB40" s="26">
        <f t="shared" si="27"/>
        <v>0</v>
      </c>
      <c r="AC40" s="26">
        <f t="shared" si="27"/>
        <v>1902</v>
      </c>
      <c r="AD40" s="26">
        <f t="shared" si="27"/>
        <v>6995</v>
      </c>
      <c r="AE40" s="26">
        <f t="shared" si="27"/>
        <v>206</v>
      </c>
      <c r="AF40" s="26">
        <f t="shared" si="27"/>
        <v>16</v>
      </c>
      <c r="AG40" s="117">
        <f t="shared" si="27"/>
        <v>54</v>
      </c>
      <c r="AH40" s="26">
        <f t="shared" si="27"/>
        <v>7217</v>
      </c>
    </row>
    <row r="42" spans="4:10" ht="12.75">
      <c r="D42" s="28" t="s">
        <v>15</v>
      </c>
      <c r="E42" s="27">
        <f>AH9+SUM(AH11:AH19)+SUM(AH21:AH27)</f>
        <v>5451</v>
      </c>
      <c r="J42" s="37"/>
    </row>
    <row r="43" spans="4:10" ht="12.75">
      <c r="D43" s="29" t="s">
        <v>16</v>
      </c>
      <c r="E43" s="27"/>
      <c r="J43" s="37"/>
    </row>
    <row r="44" spans="4:10" ht="12.75">
      <c r="D44" s="29" t="s">
        <v>17</v>
      </c>
      <c r="E44" s="27"/>
      <c r="J44" s="37"/>
    </row>
    <row r="45" spans="4:10" ht="12.75">
      <c r="D45" s="29" t="s">
        <v>18</v>
      </c>
      <c r="E45" s="27"/>
      <c r="J45" s="37"/>
    </row>
    <row r="46" spans="4:10" ht="12.75">
      <c r="D46" s="30" t="s">
        <v>56</v>
      </c>
      <c r="E46" s="27">
        <f>AH7+AH10+AH8+AH20+AH28+AH30</f>
        <v>1520</v>
      </c>
      <c r="J46" s="37"/>
    </row>
    <row r="47" spans="4:10" ht="12.75">
      <c r="D47" s="28" t="s">
        <v>20</v>
      </c>
      <c r="E47" s="27">
        <f>+AH29</f>
        <v>27</v>
      </c>
      <c r="J47" s="37"/>
    </row>
    <row r="48" spans="4:5" ht="15">
      <c r="D48" s="42"/>
      <c r="E48" s="43"/>
    </row>
    <row r="49" spans="4:5" ht="12.75">
      <c r="D49" s="57" t="s">
        <v>31</v>
      </c>
      <c r="E49" s="60">
        <f>+AH12+AH31+AH32+AH13</f>
        <v>686</v>
      </c>
    </row>
    <row r="50" spans="4:5" ht="22.5">
      <c r="D50" s="58" t="s">
        <v>47</v>
      </c>
      <c r="E50" s="60">
        <f>+AH9+AH11+AH14+AH16+AH18+AH19+AH22+AH23+AH25+AH26</f>
        <v>4178</v>
      </c>
    </row>
    <row r="51" spans="4:5" ht="12.75">
      <c r="D51" s="57" t="s">
        <v>42</v>
      </c>
      <c r="E51" s="60">
        <f>+AH8+AH20</f>
        <v>585</v>
      </c>
    </row>
    <row r="52" spans="4:5" ht="12.75">
      <c r="D52" s="61" t="s">
        <v>33</v>
      </c>
      <c r="E52" s="60">
        <f>+AH29</f>
        <v>27</v>
      </c>
    </row>
    <row r="53" spans="4:5" ht="12.75">
      <c r="D53" s="57" t="s">
        <v>43</v>
      </c>
      <c r="E53" s="60">
        <f>+AH7+AH10+AH28+AH33</f>
        <v>497</v>
      </c>
    </row>
    <row r="54" spans="4:5" ht="12.75">
      <c r="D54" s="57" t="s">
        <v>32</v>
      </c>
      <c r="E54" s="60">
        <f>+AH17</f>
        <v>220</v>
      </c>
    </row>
    <row r="55" spans="4:5" ht="12.75">
      <c r="D55" s="57" t="s">
        <v>44</v>
      </c>
      <c r="E55" s="60">
        <f>+AH24+AH21</f>
        <v>177</v>
      </c>
    </row>
    <row r="56" spans="4:5" ht="12.75">
      <c r="D56" s="57" t="s">
        <v>57</v>
      </c>
      <c r="E56" s="60">
        <f>+AH30</f>
        <v>454</v>
      </c>
    </row>
    <row r="57" spans="4:5" ht="12.75">
      <c r="D57" s="57" t="s">
        <v>45</v>
      </c>
      <c r="E57" s="60">
        <f>+AH27+AH34+AH15</f>
        <v>317</v>
      </c>
    </row>
    <row r="58" spans="4:5" ht="12.75">
      <c r="D58" s="59" t="s">
        <v>46</v>
      </c>
      <c r="E58" s="60"/>
    </row>
    <row r="59" spans="4:5" ht="13.5">
      <c r="D59" s="63" t="s">
        <v>68</v>
      </c>
      <c r="E59" s="60">
        <f>+AH36+AH37+AH38+AH39</f>
        <v>76</v>
      </c>
    </row>
  </sheetData>
  <sheetProtection/>
  <mergeCells count="13">
    <mergeCell ref="W3:W4"/>
    <mergeCell ref="AB3:AB4"/>
    <mergeCell ref="AG3:AG4"/>
    <mergeCell ref="C35:D35"/>
    <mergeCell ref="A1:AH1"/>
    <mergeCell ref="A2:AH2"/>
    <mergeCell ref="A5:AH5"/>
    <mergeCell ref="D3:D4"/>
    <mergeCell ref="C3:C4"/>
    <mergeCell ref="H3:H4"/>
    <mergeCell ref="C6:D6"/>
    <mergeCell ref="M3:M4"/>
    <mergeCell ref="R3:R4"/>
  </mergeCells>
  <printOptions/>
  <pageMargins left="0.8267716535433072" right="0.6692913385826772" top="0.5118110236220472" bottom="0.2755905511811024" header="0.5118110236220472" footer="0.2755905511811024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9"/>
  <sheetViews>
    <sheetView view="pageBreakPreview" zoomScale="160" zoomScaleSheetLayoutView="160" zoomScalePageLayoutView="0" workbookViewId="0" topLeftCell="A1">
      <pane xSplit="3" ySplit="4" topLeftCell="D3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21" sqref="P21"/>
    </sheetView>
  </sheetViews>
  <sheetFormatPr defaultColWidth="9.00390625" defaultRowHeight="12.75"/>
  <cols>
    <col min="1" max="1" width="3.00390625" style="0" customWidth="1"/>
    <col min="2" max="2" width="7.875" style="46" bestFit="1" customWidth="1"/>
    <col min="3" max="3" width="23.25390625" style="0" customWidth="1"/>
    <col min="4" max="4" width="5.75390625" style="0" customWidth="1"/>
    <col min="5" max="5" width="3.375" style="0" customWidth="1"/>
    <col min="6" max="6" width="4.00390625" style="0" customWidth="1"/>
    <col min="7" max="7" width="5.625" style="0" customWidth="1"/>
    <col min="8" max="8" width="5.75390625" style="0" customWidth="1"/>
    <col min="9" max="9" width="3.375" style="0" customWidth="1"/>
    <col min="10" max="10" width="4.00390625" style="0" customWidth="1"/>
    <col min="11" max="11" width="5.625" style="0" customWidth="1"/>
    <col min="12" max="12" width="4.875" style="0" customWidth="1"/>
    <col min="13" max="14" width="3.875" style="0" customWidth="1"/>
    <col min="15" max="15" width="5.25390625" style="0" customWidth="1"/>
    <col min="16" max="16" width="3.875" style="0" customWidth="1"/>
    <col min="17" max="18" width="3.75390625" style="0" customWidth="1"/>
    <col min="19" max="19" width="5.625" style="0" customWidth="1"/>
    <col min="20" max="20" width="3.875" style="0" customWidth="1"/>
    <col min="21" max="22" width="3.75390625" style="0" customWidth="1"/>
    <col min="23" max="23" width="5.625" style="0" customWidth="1"/>
    <col min="24" max="24" width="5.75390625" style="0" customWidth="1"/>
    <col min="25" max="25" width="4.125" style="0" customWidth="1"/>
    <col min="26" max="26" width="4.25390625" style="0" customWidth="1"/>
    <col min="27" max="27" width="6.00390625" style="0" customWidth="1"/>
    <col min="28" max="28" width="18.75390625" style="0" bestFit="1" customWidth="1"/>
    <col min="29" max="29" width="9.125" style="1" customWidth="1"/>
  </cols>
  <sheetData>
    <row r="1" spans="1:27" ht="29.25" customHeight="1">
      <c r="A1" s="91" t="s">
        <v>38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</row>
    <row r="2" spans="1:27" ht="15.75">
      <c r="A2" s="106" t="str">
        <f>контингент!A2</f>
        <v>01.11.2023 йил холати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</row>
    <row r="3" spans="1:29" s="7" customFormat="1" ht="12.75">
      <c r="A3" s="19"/>
      <c r="B3" s="110" t="s">
        <v>41</v>
      </c>
      <c r="C3" s="107" t="s">
        <v>0</v>
      </c>
      <c r="D3" s="19"/>
      <c r="E3" s="20" t="s">
        <v>25</v>
      </c>
      <c r="F3" s="21"/>
      <c r="G3" s="22"/>
      <c r="H3" s="19"/>
      <c r="I3" s="20" t="s">
        <v>9</v>
      </c>
      <c r="J3" s="21"/>
      <c r="K3" s="22"/>
      <c r="L3" s="19"/>
      <c r="M3" s="20" t="s">
        <v>10</v>
      </c>
      <c r="N3" s="21"/>
      <c r="O3" s="22"/>
      <c r="P3" s="19"/>
      <c r="Q3" s="20" t="s">
        <v>1</v>
      </c>
      <c r="R3" s="21"/>
      <c r="S3" s="22"/>
      <c r="T3" s="19"/>
      <c r="U3" s="20" t="s">
        <v>59</v>
      </c>
      <c r="V3" s="21"/>
      <c r="W3" s="22"/>
      <c r="X3" s="19"/>
      <c r="Y3" s="20" t="s">
        <v>5</v>
      </c>
      <c r="Z3" s="21"/>
      <c r="AA3" s="23"/>
      <c r="AC3" s="9"/>
    </row>
    <row r="4" spans="1:29" s="7" customFormat="1" ht="12.75">
      <c r="A4" s="24"/>
      <c r="B4" s="111"/>
      <c r="C4" s="108"/>
      <c r="D4" s="23" t="s">
        <v>2</v>
      </c>
      <c r="E4" s="23" t="s">
        <v>6</v>
      </c>
      <c r="F4" s="23" t="s">
        <v>4</v>
      </c>
      <c r="G4" s="23" t="s">
        <v>5</v>
      </c>
      <c r="H4" s="23" t="s">
        <v>2</v>
      </c>
      <c r="I4" s="23" t="s">
        <v>6</v>
      </c>
      <c r="J4" s="23" t="s">
        <v>4</v>
      </c>
      <c r="K4" s="23" t="s">
        <v>5</v>
      </c>
      <c r="L4" s="23" t="s">
        <v>8</v>
      </c>
      <c r="M4" s="23" t="s">
        <v>6</v>
      </c>
      <c r="N4" s="23" t="s">
        <v>7</v>
      </c>
      <c r="O4" s="23" t="s">
        <v>5</v>
      </c>
      <c r="P4" s="23" t="s">
        <v>2</v>
      </c>
      <c r="Q4" s="23" t="s">
        <v>6</v>
      </c>
      <c r="R4" s="23" t="s">
        <v>7</v>
      </c>
      <c r="S4" s="23" t="s">
        <v>5</v>
      </c>
      <c r="T4" s="23" t="s">
        <v>2</v>
      </c>
      <c r="U4" s="23" t="s">
        <v>6</v>
      </c>
      <c r="V4" s="23" t="s">
        <v>7</v>
      </c>
      <c r="W4" s="23" t="s">
        <v>5</v>
      </c>
      <c r="X4" s="23" t="s">
        <v>2</v>
      </c>
      <c r="Y4" s="23" t="s">
        <v>3</v>
      </c>
      <c r="Z4" s="23" t="s">
        <v>4</v>
      </c>
      <c r="AA4" s="23" t="s">
        <v>5</v>
      </c>
      <c r="AC4" s="9"/>
    </row>
    <row r="5" spans="1:27" ht="12.75">
      <c r="A5" s="109" t="s">
        <v>29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</row>
    <row r="6" spans="1:28" ht="12.75">
      <c r="A6" s="66"/>
      <c r="B6" s="104" t="s">
        <v>69</v>
      </c>
      <c r="C6" s="105"/>
      <c r="D6" s="66">
        <f>+D7+D8+D9+D10+D11+D12+D13+D14+D15+D16+D17+D18+D19+D20+D21+D22+D23+D24+D25+D26+D27+D28+D29+D30+D32+D33+D34+D31</f>
        <v>11</v>
      </c>
      <c r="E6" s="66">
        <f>+E7+E8+E9+E10+E11+E12+E13+E14+E15+E16+E17+E18+E19+E20+E21+E22+E23+E24+E25+E26+E27+E28+E29+E30+E32+E33+E34+E31</f>
        <v>0</v>
      </c>
      <c r="F6" s="66">
        <f aca="true" t="shared" si="0" ref="F6:AB6">+F7+F8+F9+F10+F11+F12+F13+F14+F15+F16+F17+F18+F19+F20+F21+F22+F23+F24+F25+F26+F27+F28+F29+F30+F32+F33+F34+F31</f>
        <v>0</v>
      </c>
      <c r="G6" s="66">
        <f t="shared" si="0"/>
        <v>11</v>
      </c>
      <c r="H6" s="66">
        <f t="shared" si="0"/>
        <v>11</v>
      </c>
      <c r="I6" s="66">
        <f t="shared" si="0"/>
        <v>3</v>
      </c>
      <c r="J6" s="66">
        <f t="shared" si="0"/>
        <v>0</v>
      </c>
      <c r="K6" s="66">
        <f t="shared" si="0"/>
        <v>14</v>
      </c>
      <c r="L6" s="66">
        <f t="shared" si="0"/>
        <v>8</v>
      </c>
      <c r="M6" s="66">
        <f t="shared" si="0"/>
        <v>0</v>
      </c>
      <c r="N6" s="66">
        <f t="shared" si="0"/>
        <v>0</v>
      </c>
      <c r="O6" s="66">
        <f t="shared" si="0"/>
        <v>8</v>
      </c>
      <c r="P6" s="66">
        <f t="shared" si="0"/>
        <v>30</v>
      </c>
      <c r="Q6" s="66">
        <f t="shared" si="0"/>
        <v>1</v>
      </c>
      <c r="R6" s="66">
        <f t="shared" si="0"/>
        <v>0</v>
      </c>
      <c r="S6" s="66">
        <f t="shared" si="0"/>
        <v>31</v>
      </c>
      <c r="T6" s="66">
        <f t="shared" si="0"/>
        <v>15</v>
      </c>
      <c r="U6" s="66">
        <f t="shared" si="0"/>
        <v>0</v>
      </c>
      <c r="V6" s="66">
        <f t="shared" si="0"/>
        <v>0</v>
      </c>
      <c r="W6" s="66">
        <f t="shared" si="0"/>
        <v>15</v>
      </c>
      <c r="X6" s="66">
        <f t="shared" si="0"/>
        <v>75</v>
      </c>
      <c r="Y6" s="66">
        <f t="shared" si="0"/>
        <v>4</v>
      </c>
      <c r="Z6" s="66">
        <f t="shared" si="0"/>
        <v>0</v>
      </c>
      <c r="AA6" s="66">
        <f t="shared" si="0"/>
        <v>79</v>
      </c>
      <c r="AB6" s="66">
        <f t="shared" si="0"/>
        <v>0</v>
      </c>
    </row>
    <row r="7" spans="1:29" s="33" customFormat="1" ht="22.5">
      <c r="A7" s="48">
        <v>1</v>
      </c>
      <c r="B7" s="52">
        <v>60230600</v>
      </c>
      <c r="C7" s="51" t="s">
        <v>52</v>
      </c>
      <c r="D7" s="38">
        <v>1</v>
      </c>
      <c r="E7" s="38"/>
      <c r="F7" s="38"/>
      <c r="G7" s="39">
        <f aca="true" t="shared" si="1" ref="G7:G20">D7+E7+F7</f>
        <v>1</v>
      </c>
      <c r="H7" s="38">
        <v>1</v>
      </c>
      <c r="I7" s="38"/>
      <c r="J7" s="38"/>
      <c r="K7" s="39">
        <f aca="true" t="shared" si="2" ref="K7:K13">H7+I7+J7</f>
        <v>1</v>
      </c>
      <c r="L7" s="38">
        <v>4</v>
      </c>
      <c r="M7" s="38"/>
      <c r="N7" s="38"/>
      <c r="O7" s="41">
        <f aca="true" t="shared" si="3" ref="O7:O13">L7+M7+N7</f>
        <v>4</v>
      </c>
      <c r="P7" s="38"/>
      <c r="Q7" s="38"/>
      <c r="R7" s="40"/>
      <c r="S7" s="41">
        <f aca="true" t="shared" si="4" ref="S7:S13">P7+Q7+R7</f>
        <v>0</v>
      </c>
      <c r="T7" s="38">
        <v>1</v>
      </c>
      <c r="U7" s="40"/>
      <c r="V7" s="40"/>
      <c r="W7" s="41">
        <f aca="true" t="shared" si="5" ref="W7:W20">T7+U7+V7</f>
        <v>1</v>
      </c>
      <c r="X7" s="40">
        <f>H7+L7+P7+D7+T7</f>
        <v>7</v>
      </c>
      <c r="Y7" s="40">
        <f aca="true" t="shared" si="6" ref="Y7:Y30">I7+M7+Q7+E7+U7</f>
        <v>0</v>
      </c>
      <c r="Z7" s="40">
        <f aca="true" t="shared" si="7" ref="Z7:Z30">J7+N7+R7+F7+V7</f>
        <v>0</v>
      </c>
      <c r="AA7" s="36">
        <f aca="true" t="shared" si="8" ref="AA7:AA13">X7+Y7+Z7</f>
        <v>7</v>
      </c>
      <c r="AC7" s="34"/>
    </row>
    <row r="8" spans="1:29" s="31" customFormat="1" ht="12.75">
      <c r="A8" s="48">
        <v>2</v>
      </c>
      <c r="B8" s="89">
        <v>60530400</v>
      </c>
      <c r="C8" s="89" t="s">
        <v>40</v>
      </c>
      <c r="D8" s="38"/>
      <c r="E8" s="38"/>
      <c r="F8" s="38"/>
      <c r="G8" s="39">
        <f t="shared" si="1"/>
        <v>0</v>
      </c>
      <c r="H8" s="38"/>
      <c r="I8" s="38"/>
      <c r="J8" s="38"/>
      <c r="K8" s="39">
        <f t="shared" si="2"/>
        <v>0</v>
      </c>
      <c r="L8" s="38"/>
      <c r="M8" s="38"/>
      <c r="N8" s="38"/>
      <c r="O8" s="41">
        <f t="shared" si="3"/>
        <v>0</v>
      </c>
      <c r="P8" s="38"/>
      <c r="Q8" s="38"/>
      <c r="R8" s="40"/>
      <c r="S8" s="41">
        <f t="shared" si="4"/>
        <v>0</v>
      </c>
      <c r="T8" s="38"/>
      <c r="U8" s="40"/>
      <c r="V8" s="40"/>
      <c r="W8" s="41">
        <f t="shared" si="5"/>
        <v>0</v>
      </c>
      <c r="X8" s="40">
        <f aca="true" t="shared" si="9" ref="X8:X30">H8+L8+P8+D8+T8</f>
        <v>0</v>
      </c>
      <c r="Y8" s="40">
        <f t="shared" si="6"/>
        <v>0</v>
      </c>
      <c r="Z8" s="40">
        <f t="shared" si="7"/>
        <v>0</v>
      </c>
      <c r="AA8" s="36">
        <f t="shared" si="8"/>
        <v>0</v>
      </c>
      <c r="AC8" s="32"/>
    </row>
    <row r="9" spans="1:29" s="31" customFormat="1" ht="12.75">
      <c r="A9" s="48">
        <v>3</v>
      </c>
      <c r="B9" s="53">
        <v>60110200</v>
      </c>
      <c r="C9" s="47" t="s">
        <v>28</v>
      </c>
      <c r="D9" s="38"/>
      <c r="E9" s="38"/>
      <c r="F9" s="38"/>
      <c r="G9" s="39">
        <f t="shared" si="1"/>
        <v>0</v>
      </c>
      <c r="H9" s="38"/>
      <c r="I9" s="38"/>
      <c r="J9" s="38"/>
      <c r="K9" s="39">
        <f t="shared" si="2"/>
        <v>0</v>
      </c>
      <c r="L9" s="38"/>
      <c r="M9" s="38"/>
      <c r="N9" s="38"/>
      <c r="O9" s="41">
        <f t="shared" si="3"/>
        <v>0</v>
      </c>
      <c r="P9" s="38">
        <v>2</v>
      </c>
      <c r="Q9" s="38">
        <v>1</v>
      </c>
      <c r="R9" s="40"/>
      <c r="S9" s="41">
        <f t="shared" si="4"/>
        <v>3</v>
      </c>
      <c r="T9" s="38"/>
      <c r="U9" s="40"/>
      <c r="V9" s="40"/>
      <c r="W9" s="41">
        <f t="shared" si="5"/>
        <v>0</v>
      </c>
      <c r="X9" s="40">
        <f t="shared" si="9"/>
        <v>2</v>
      </c>
      <c r="Y9" s="40">
        <f t="shared" si="6"/>
        <v>1</v>
      </c>
      <c r="Z9" s="40">
        <f t="shared" si="7"/>
        <v>0</v>
      </c>
      <c r="AA9" s="36">
        <f t="shared" si="8"/>
        <v>3</v>
      </c>
      <c r="AC9" s="32"/>
    </row>
    <row r="10" spans="1:29" s="31" customFormat="1" ht="12.75">
      <c r="A10" s="48">
        <v>4</v>
      </c>
      <c r="B10" s="54">
        <v>60411400</v>
      </c>
      <c r="C10" s="47" t="s">
        <v>26</v>
      </c>
      <c r="D10" s="38"/>
      <c r="E10" s="38"/>
      <c r="F10" s="38"/>
      <c r="G10" s="39">
        <f t="shared" si="1"/>
        <v>0</v>
      </c>
      <c r="H10" s="38"/>
      <c r="I10" s="38"/>
      <c r="J10" s="38"/>
      <c r="K10" s="39">
        <f t="shared" si="2"/>
        <v>0</v>
      </c>
      <c r="L10" s="38"/>
      <c r="M10" s="38"/>
      <c r="N10" s="38"/>
      <c r="O10" s="41">
        <f t="shared" si="3"/>
        <v>0</v>
      </c>
      <c r="P10" s="38"/>
      <c r="Q10" s="38"/>
      <c r="R10" s="40"/>
      <c r="S10" s="41">
        <f t="shared" si="4"/>
        <v>0</v>
      </c>
      <c r="T10" s="38"/>
      <c r="U10" s="40"/>
      <c r="V10" s="40"/>
      <c r="W10" s="41">
        <f t="shared" si="5"/>
        <v>0</v>
      </c>
      <c r="X10" s="40">
        <f t="shared" si="9"/>
        <v>0</v>
      </c>
      <c r="Y10" s="40">
        <f t="shared" si="6"/>
        <v>0</v>
      </c>
      <c r="Z10" s="40">
        <f t="shared" si="7"/>
        <v>0</v>
      </c>
      <c r="AA10" s="36">
        <f t="shared" si="8"/>
        <v>0</v>
      </c>
      <c r="AC10" s="32"/>
    </row>
    <row r="11" spans="1:29" s="31" customFormat="1" ht="12.75">
      <c r="A11" s="48">
        <v>5</v>
      </c>
      <c r="B11" s="53">
        <v>60111300</v>
      </c>
      <c r="C11" s="49" t="s">
        <v>27</v>
      </c>
      <c r="D11" s="38"/>
      <c r="E11" s="38"/>
      <c r="F11" s="38"/>
      <c r="G11" s="39">
        <f t="shared" si="1"/>
        <v>0</v>
      </c>
      <c r="H11" s="38"/>
      <c r="I11" s="38"/>
      <c r="J11" s="38"/>
      <c r="K11" s="39">
        <f t="shared" si="2"/>
        <v>0</v>
      </c>
      <c r="L11" s="38"/>
      <c r="M11" s="38"/>
      <c r="N11" s="38"/>
      <c r="O11" s="41">
        <f t="shared" si="3"/>
        <v>0</v>
      </c>
      <c r="P11" s="38">
        <f>4+1</f>
        <v>5</v>
      </c>
      <c r="Q11" s="38"/>
      <c r="R11" s="40"/>
      <c r="S11" s="41">
        <f t="shared" si="4"/>
        <v>5</v>
      </c>
      <c r="T11" s="38">
        <v>1</v>
      </c>
      <c r="U11" s="40"/>
      <c r="V11" s="40"/>
      <c r="W11" s="41">
        <f t="shared" si="5"/>
        <v>1</v>
      </c>
      <c r="X11" s="40">
        <f t="shared" si="9"/>
        <v>6</v>
      </c>
      <c r="Y11" s="40">
        <f t="shared" si="6"/>
        <v>0</v>
      </c>
      <c r="Z11" s="40">
        <f t="shared" si="7"/>
        <v>0</v>
      </c>
      <c r="AA11" s="36">
        <f t="shared" si="8"/>
        <v>6</v>
      </c>
      <c r="AC11" s="32"/>
    </row>
    <row r="12" spans="1:29" s="31" customFormat="1" ht="22.5">
      <c r="A12" s="48">
        <v>6</v>
      </c>
      <c r="B12" s="53">
        <v>60230100</v>
      </c>
      <c r="C12" s="49" t="s">
        <v>21</v>
      </c>
      <c r="D12" s="38">
        <v>2</v>
      </c>
      <c r="E12" s="38"/>
      <c r="F12" s="38"/>
      <c r="G12" s="39">
        <f t="shared" si="1"/>
        <v>2</v>
      </c>
      <c r="H12" s="38">
        <f>4+1</f>
        <v>5</v>
      </c>
      <c r="I12" s="38"/>
      <c r="J12" s="38"/>
      <c r="K12" s="39">
        <f t="shared" si="2"/>
        <v>5</v>
      </c>
      <c r="L12" s="38"/>
      <c r="M12" s="38"/>
      <c r="N12" s="38"/>
      <c r="O12" s="41">
        <f t="shared" si="3"/>
        <v>0</v>
      </c>
      <c r="P12" s="38">
        <f>3+2</f>
        <v>5</v>
      </c>
      <c r="Q12" s="38"/>
      <c r="R12" s="40"/>
      <c r="S12" s="41">
        <f t="shared" si="4"/>
        <v>5</v>
      </c>
      <c r="T12" s="38">
        <f>7+1-3-1</f>
        <v>4</v>
      </c>
      <c r="U12" s="40"/>
      <c r="V12" s="40"/>
      <c r="W12" s="41">
        <f t="shared" si="5"/>
        <v>4</v>
      </c>
      <c r="X12" s="40">
        <f t="shared" si="9"/>
        <v>16</v>
      </c>
      <c r="Y12" s="40">
        <f t="shared" si="6"/>
        <v>0</v>
      </c>
      <c r="Z12" s="40">
        <f t="shared" si="7"/>
        <v>0</v>
      </c>
      <c r="AA12" s="36">
        <f t="shared" si="8"/>
        <v>16</v>
      </c>
      <c r="AB12" s="35"/>
      <c r="AC12" s="32"/>
    </row>
    <row r="13" spans="1:29" s="31" customFormat="1" ht="12.75">
      <c r="A13" s="48">
        <v>7</v>
      </c>
      <c r="B13" s="53">
        <v>60220300</v>
      </c>
      <c r="C13" s="49" t="s">
        <v>11</v>
      </c>
      <c r="D13" s="38"/>
      <c r="E13" s="38"/>
      <c r="F13" s="38"/>
      <c r="G13" s="39">
        <f t="shared" si="1"/>
        <v>0</v>
      </c>
      <c r="H13" s="38"/>
      <c r="I13" s="38"/>
      <c r="J13" s="38"/>
      <c r="K13" s="39">
        <f t="shared" si="2"/>
        <v>0</v>
      </c>
      <c r="L13" s="38"/>
      <c r="M13" s="38"/>
      <c r="N13" s="38"/>
      <c r="O13" s="41">
        <f t="shared" si="3"/>
        <v>0</v>
      </c>
      <c r="P13" s="38"/>
      <c r="Q13" s="38"/>
      <c r="R13" s="40"/>
      <c r="S13" s="41">
        <f t="shared" si="4"/>
        <v>0</v>
      </c>
      <c r="T13" s="38">
        <f>3+1</f>
        <v>4</v>
      </c>
      <c r="U13" s="40"/>
      <c r="V13" s="40"/>
      <c r="W13" s="41">
        <f t="shared" si="5"/>
        <v>4</v>
      </c>
      <c r="X13" s="40">
        <f t="shared" si="9"/>
        <v>4</v>
      </c>
      <c r="Y13" s="40">
        <f t="shared" si="6"/>
        <v>0</v>
      </c>
      <c r="Z13" s="40">
        <f t="shared" si="7"/>
        <v>0</v>
      </c>
      <c r="AA13" s="36">
        <f t="shared" si="8"/>
        <v>4</v>
      </c>
      <c r="AC13" s="32"/>
    </row>
    <row r="14" spans="1:29" s="31" customFormat="1" ht="22.5">
      <c r="A14" s="48">
        <v>8</v>
      </c>
      <c r="B14" s="53">
        <v>60110500</v>
      </c>
      <c r="C14" s="47" t="s">
        <v>22</v>
      </c>
      <c r="D14" s="38"/>
      <c r="E14" s="38"/>
      <c r="F14" s="38"/>
      <c r="G14" s="39">
        <f t="shared" si="1"/>
        <v>0</v>
      </c>
      <c r="H14" s="38"/>
      <c r="I14" s="38"/>
      <c r="J14" s="38"/>
      <c r="K14" s="39">
        <f aca="true" t="shared" si="10" ref="K14:K20">H14+I14+J14</f>
        <v>0</v>
      </c>
      <c r="L14" s="38"/>
      <c r="M14" s="38"/>
      <c r="N14" s="38"/>
      <c r="O14" s="41">
        <f aca="true" t="shared" si="11" ref="O14:O20">L14+M14+N14</f>
        <v>0</v>
      </c>
      <c r="P14" s="38"/>
      <c r="Q14" s="38"/>
      <c r="R14" s="40"/>
      <c r="S14" s="41">
        <f aca="true" t="shared" si="12" ref="S14:S20">P14+Q14+R14</f>
        <v>0</v>
      </c>
      <c r="T14" s="38">
        <f>3-1+2-3</f>
        <v>1</v>
      </c>
      <c r="U14" s="40"/>
      <c r="V14" s="40"/>
      <c r="W14" s="41">
        <f t="shared" si="5"/>
        <v>1</v>
      </c>
      <c r="X14" s="40">
        <f t="shared" si="9"/>
        <v>1</v>
      </c>
      <c r="Y14" s="40">
        <f t="shared" si="6"/>
        <v>0</v>
      </c>
      <c r="Z14" s="40">
        <f t="shared" si="7"/>
        <v>0</v>
      </c>
      <c r="AA14" s="36">
        <f aca="true" t="shared" si="13" ref="AA14:AA20">X14+Y14+Z14</f>
        <v>1</v>
      </c>
      <c r="AC14" s="32"/>
    </row>
    <row r="15" spans="1:29" s="31" customFormat="1" ht="22.5">
      <c r="A15" s="48">
        <v>9</v>
      </c>
      <c r="B15" s="53">
        <v>60110600</v>
      </c>
      <c r="C15" s="49" t="s">
        <v>23</v>
      </c>
      <c r="D15" s="38"/>
      <c r="E15" s="38"/>
      <c r="F15" s="38"/>
      <c r="G15" s="39">
        <f t="shared" si="1"/>
        <v>0</v>
      </c>
      <c r="H15" s="38"/>
      <c r="I15" s="38"/>
      <c r="J15" s="38"/>
      <c r="K15" s="39">
        <f t="shared" si="10"/>
        <v>0</v>
      </c>
      <c r="L15" s="38"/>
      <c r="M15" s="38"/>
      <c r="N15" s="38"/>
      <c r="O15" s="41">
        <f t="shared" si="11"/>
        <v>0</v>
      </c>
      <c r="P15" s="38"/>
      <c r="Q15" s="38"/>
      <c r="R15" s="40"/>
      <c r="S15" s="41">
        <f t="shared" si="12"/>
        <v>0</v>
      </c>
      <c r="T15" s="38">
        <f>1-1</f>
        <v>0</v>
      </c>
      <c r="U15" s="40"/>
      <c r="V15" s="40"/>
      <c r="W15" s="41">
        <f t="shared" si="5"/>
        <v>0</v>
      </c>
      <c r="X15" s="40">
        <f t="shared" si="9"/>
        <v>0</v>
      </c>
      <c r="Y15" s="40">
        <f t="shared" si="6"/>
        <v>0</v>
      </c>
      <c r="Z15" s="40">
        <f t="shared" si="7"/>
        <v>0</v>
      </c>
      <c r="AA15" s="36">
        <f t="shared" si="13"/>
        <v>0</v>
      </c>
      <c r="AC15" s="32"/>
    </row>
    <row r="16" spans="1:29" s="31" customFormat="1" ht="12.75">
      <c r="A16" s="48">
        <v>10</v>
      </c>
      <c r="B16" s="53">
        <v>60112200</v>
      </c>
      <c r="C16" s="49" t="s">
        <v>13</v>
      </c>
      <c r="D16" s="38"/>
      <c r="E16" s="38"/>
      <c r="F16" s="38"/>
      <c r="G16" s="39">
        <f t="shared" si="1"/>
        <v>0</v>
      </c>
      <c r="H16" s="38"/>
      <c r="I16" s="38"/>
      <c r="J16" s="38"/>
      <c r="K16" s="39">
        <f t="shared" si="10"/>
        <v>0</v>
      </c>
      <c r="L16" s="38"/>
      <c r="M16" s="38"/>
      <c r="N16" s="38"/>
      <c r="O16" s="41">
        <f t="shared" si="11"/>
        <v>0</v>
      </c>
      <c r="P16" s="38">
        <f>5-1-1</f>
        <v>3</v>
      </c>
      <c r="Q16" s="38"/>
      <c r="R16" s="40"/>
      <c r="S16" s="41">
        <f t="shared" si="12"/>
        <v>3</v>
      </c>
      <c r="T16" s="38"/>
      <c r="U16" s="40"/>
      <c r="V16" s="40"/>
      <c r="W16" s="41">
        <f t="shared" si="5"/>
        <v>0</v>
      </c>
      <c r="X16" s="40">
        <f t="shared" si="9"/>
        <v>3</v>
      </c>
      <c r="Y16" s="40">
        <f t="shared" si="6"/>
        <v>0</v>
      </c>
      <c r="Z16" s="40">
        <f t="shared" si="7"/>
        <v>0</v>
      </c>
      <c r="AA16" s="36">
        <f t="shared" si="13"/>
        <v>3</v>
      </c>
      <c r="AC16" s="32"/>
    </row>
    <row r="17" spans="1:29" s="33" customFormat="1" ht="12.75">
      <c r="A17" s="48">
        <v>11</v>
      </c>
      <c r="B17" s="53">
        <v>60510100</v>
      </c>
      <c r="C17" s="49" t="s">
        <v>24</v>
      </c>
      <c r="D17" s="38">
        <v>3</v>
      </c>
      <c r="E17" s="38"/>
      <c r="F17" s="38"/>
      <c r="G17" s="39">
        <f t="shared" si="1"/>
        <v>3</v>
      </c>
      <c r="H17" s="38"/>
      <c r="I17" s="38"/>
      <c r="J17" s="38"/>
      <c r="K17" s="39">
        <f t="shared" si="10"/>
        <v>0</v>
      </c>
      <c r="L17" s="38"/>
      <c r="M17" s="38"/>
      <c r="N17" s="38"/>
      <c r="O17" s="41">
        <f t="shared" si="11"/>
        <v>0</v>
      </c>
      <c r="P17" s="38"/>
      <c r="Q17" s="38"/>
      <c r="R17" s="40"/>
      <c r="S17" s="41">
        <f t="shared" si="12"/>
        <v>0</v>
      </c>
      <c r="T17" s="38"/>
      <c r="U17" s="40"/>
      <c r="V17" s="40"/>
      <c r="W17" s="41">
        <f t="shared" si="5"/>
        <v>0</v>
      </c>
      <c r="X17" s="40">
        <f t="shared" si="9"/>
        <v>3</v>
      </c>
      <c r="Y17" s="40">
        <f t="shared" si="6"/>
        <v>0</v>
      </c>
      <c r="Z17" s="40">
        <f t="shared" si="7"/>
        <v>0</v>
      </c>
      <c r="AA17" s="36">
        <f t="shared" si="13"/>
        <v>3</v>
      </c>
      <c r="AC17" s="34"/>
    </row>
    <row r="18" spans="1:29" s="33" customFormat="1" ht="22.5">
      <c r="A18" s="48">
        <v>12</v>
      </c>
      <c r="B18" s="53">
        <v>60111200</v>
      </c>
      <c r="C18" s="49" t="s">
        <v>35</v>
      </c>
      <c r="D18" s="38"/>
      <c r="E18" s="38"/>
      <c r="F18" s="38"/>
      <c r="G18" s="39">
        <f t="shared" si="1"/>
        <v>0</v>
      </c>
      <c r="H18" s="38"/>
      <c r="I18" s="38"/>
      <c r="J18" s="38"/>
      <c r="K18" s="39">
        <f t="shared" si="10"/>
        <v>0</v>
      </c>
      <c r="L18" s="38"/>
      <c r="M18" s="38"/>
      <c r="N18" s="38"/>
      <c r="O18" s="41">
        <f t="shared" si="11"/>
        <v>0</v>
      </c>
      <c r="P18" s="38"/>
      <c r="Q18" s="38"/>
      <c r="R18" s="40"/>
      <c r="S18" s="41">
        <f t="shared" si="12"/>
        <v>0</v>
      </c>
      <c r="T18" s="38">
        <v>1</v>
      </c>
      <c r="U18" s="40"/>
      <c r="V18" s="40"/>
      <c r="W18" s="41">
        <f t="shared" si="5"/>
        <v>1</v>
      </c>
      <c r="X18" s="40">
        <f t="shared" si="9"/>
        <v>1</v>
      </c>
      <c r="Y18" s="40">
        <f t="shared" si="6"/>
        <v>0</v>
      </c>
      <c r="Z18" s="40">
        <f t="shared" si="7"/>
        <v>0</v>
      </c>
      <c r="AA18" s="36">
        <f t="shared" si="13"/>
        <v>1</v>
      </c>
      <c r="AC18" s="34"/>
    </row>
    <row r="19" spans="1:29" s="33" customFormat="1" ht="12.75">
      <c r="A19" s="48">
        <v>13</v>
      </c>
      <c r="B19" s="53">
        <v>60112300</v>
      </c>
      <c r="C19" s="49" t="s">
        <v>36</v>
      </c>
      <c r="D19" s="38"/>
      <c r="E19" s="38"/>
      <c r="F19" s="38"/>
      <c r="G19" s="39">
        <f t="shared" si="1"/>
        <v>0</v>
      </c>
      <c r="H19" s="38"/>
      <c r="I19" s="38"/>
      <c r="J19" s="38"/>
      <c r="K19" s="39">
        <f t="shared" si="10"/>
        <v>0</v>
      </c>
      <c r="L19" s="38"/>
      <c r="M19" s="38"/>
      <c r="N19" s="38"/>
      <c r="O19" s="41">
        <f t="shared" si="11"/>
        <v>0</v>
      </c>
      <c r="P19" s="39">
        <v>1</v>
      </c>
      <c r="Q19" s="38"/>
      <c r="R19" s="40"/>
      <c r="S19" s="41">
        <f t="shared" si="12"/>
        <v>1</v>
      </c>
      <c r="T19" s="38">
        <v>2</v>
      </c>
      <c r="U19" s="40"/>
      <c r="V19" s="40"/>
      <c r="W19" s="41">
        <f t="shared" si="5"/>
        <v>2</v>
      </c>
      <c r="X19" s="40">
        <f t="shared" si="9"/>
        <v>3</v>
      </c>
      <c r="Y19" s="40">
        <f t="shared" si="6"/>
        <v>0</v>
      </c>
      <c r="Z19" s="40">
        <f t="shared" si="7"/>
        <v>0</v>
      </c>
      <c r="AA19" s="36">
        <f t="shared" si="13"/>
        <v>3</v>
      </c>
      <c r="AC19" s="34"/>
    </row>
    <row r="20" spans="1:29" s="33" customFormat="1" ht="22.5">
      <c r="A20" s="48">
        <v>14</v>
      </c>
      <c r="B20" s="53">
        <v>60310900</v>
      </c>
      <c r="C20" s="49" t="s">
        <v>37</v>
      </c>
      <c r="D20" s="38">
        <v>4</v>
      </c>
      <c r="E20" s="38"/>
      <c r="F20" s="38"/>
      <c r="G20" s="39">
        <f t="shared" si="1"/>
        <v>4</v>
      </c>
      <c r="H20" s="38"/>
      <c r="I20" s="38"/>
      <c r="J20" s="38"/>
      <c r="K20" s="39">
        <f t="shared" si="10"/>
        <v>0</v>
      </c>
      <c r="L20" s="38">
        <f>5-1</f>
        <v>4</v>
      </c>
      <c r="M20" s="38"/>
      <c r="N20" s="38"/>
      <c r="O20" s="41">
        <f t="shared" si="11"/>
        <v>4</v>
      </c>
      <c r="P20" s="39">
        <f>2+1+1-1</f>
        <v>3</v>
      </c>
      <c r="Q20" s="38"/>
      <c r="R20" s="40"/>
      <c r="S20" s="41">
        <f t="shared" si="12"/>
        <v>3</v>
      </c>
      <c r="T20" s="38">
        <v>1</v>
      </c>
      <c r="U20" s="40"/>
      <c r="V20" s="40"/>
      <c r="W20" s="41">
        <f t="shared" si="5"/>
        <v>1</v>
      </c>
      <c r="X20" s="40">
        <f t="shared" si="9"/>
        <v>12</v>
      </c>
      <c r="Y20" s="40">
        <f t="shared" si="6"/>
        <v>0</v>
      </c>
      <c r="Z20" s="40">
        <f t="shared" si="7"/>
        <v>0</v>
      </c>
      <c r="AA20" s="36">
        <f t="shared" si="13"/>
        <v>12</v>
      </c>
      <c r="AC20" s="34"/>
    </row>
    <row r="21" spans="1:29" s="33" customFormat="1" ht="12.75">
      <c r="A21" s="48">
        <v>15</v>
      </c>
      <c r="B21" s="53">
        <v>60530400</v>
      </c>
      <c r="C21" s="49" t="s">
        <v>40</v>
      </c>
      <c r="D21" s="38"/>
      <c r="E21" s="38"/>
      <c r="F21" s="38"/>
      <c r="G21" s="39">
        <f>D21+E21+F21</f>
        <v>0</v>
      </c>
      <c r="H21" s="38"/>
      <c r="I21" s="38"/>
      <c r="J21" s="38"/>
      <c r="K21" s="39">
        <f>H21+I21+J21</f>
        <v>0</v>
      </c>
      <c r="L21" s="38"/>
      <c r="M21" s="38"/>
      <c r="N21" s="38"/>
      <c r="O21" s="41">
        <f>L21+M21+N21</f>
        <v>0</v>
      </c>
      <c r="P21" s="38"/>
      <c r="Q21" s="38"/>
      <c r="R21" s="40"/>
      <c r="S21" s="41">
        <f>P21+Q21+R21</f>
        <v>0</v>
      </c>
      <c r="T21" s="40"/>
      <c r="U21" s="40"/>
      <c r="V21" s="40"/>
      <c r="W21" s="41">
        <f>T21+U21+V21</f>
        <v>0</v>
      </c>
      <c r="X21" s="40">
        <f t="shared" si="9"/>
        <v>0</v>
      </c>
      <c r="Y21" s="40">
        <f t="shared" si="6"/>
        <v>0</v>
      </c>
      <c r="Z21" s="40">
        <f t="shared" si="7"/>
        <v>0</v>
      </c>
      <c r="AA21" s="36">
        <f>X21+Y21+Z21</f>
        <v>0</v>
      </c>
      <c r="AC21" s="34"/>
    </row>
    <row r="22" spans="1:29" s="33" customFormat="1" ht="12.75">
      <c r="A22" s="48">
        <v>16</v>
      </c>
      <c r="B22" s="52">
        <v>60110600</v>
      </c>
      <c r="C22" s="51" t="s">
        <v>48</v>
      </c>
      <c r="D22" s="38"/>
      <c r="E22" s="38"/>
      <c r="F22" s="38"/>
      <c r="G22" s="39">
        <f aca="true" t="shared" si="14" ref="G22:G29">D22+E22+F22</f>
        <v>0</v>
      </c>
      <c r="H22" s="38"/>
      <c r="I22" s="38"/>
      <c r="J22" s="38"/>
      <c r="K22" s="39">
        <f aca="true" t="shared" si="15" ref="K22:K29">H22+I22+J22</f>
        <v>0</v>
      </c>
      <c r="L22" s="38"/>
      <c r="M22" s="38"/>
      <c r="N22" s="38"/>
      <c r="O22" s="41">
        <f aca="true" t="shared" si="16" ref="O22:O29">L22+M22+N22</f>
        <v>0</v>
      </c>
      <c r="P22" s="38">
        <f>1+1-1+1</f>
        <v>2</v>
      </c>
      <c r="Q22" s="38"/>
      <c r="R22" s="40"/>
      <c r="S22" s="41">
        <f aca="true" t="shared" si="17" ref="S22:S29">P22+Q22+R22</f>
        <v>2</v>
      </c>
      <c r="T22" s="40"/>
      <c r="U22" s="40"/>
      <c r="V22" s="40"/>
      <c r="W22" s="41">
        <f aca="true" t="shared" si="18" ref="W22:W29">T22+U22+V22</f>
        <v>0</v>
      </c>
      <c r="X22" s="40">
        <f t="shared" si="9"/>
        <v>2</v>
      </c>
      <c r="Y22" s="40">
        <f t="shared" si="6"/>
        <v>0</v>
      </c>
      <c r="Z22" s="40">
        <f t="shared" si="7"/>
        <v>0</v>
      </c>
      <c r="AA22" s="36">
        <f aca="true" t="shared" si="19" ref="AA22:AA28">X22+Y22+Z22</f>
        <v>2</v>
      </c>
      <c r="AC22" s="34"/>
    </row>
    <row r="23" spans="1:29" s="33" customFormat="1" ht="12.75">
      <c r="A23" s="48">
        <v>17</v>
      </c>
      <c r="B23" s="52">
        <v>60110900</v>
      </c>
      <c r="C23" s="51" t="s">
        <v>12</v>
      </c>
      <c r="D23" s="38"/>
      <c r="E23" s="38"/>
      <c r="F23" s="38"/>
      <c r="G23" s="39">
        <f t="shared" si="14"/>
        <v>0</v>
      </c>
      <c r="H23" s="38"/>
      <c r="I23" s="38"/>
      <c r="J23" s="38"/>
      <c r="K23" s="39">
        <f t="shared" si="15"/>
        <v>0</v>
      </c>
      <c r="L23" s="38"/>
      <c r="M23" s="38"/>
      <c r="N23" s="38"/>
      <c r="O23" s="41">
        <f t="shared" si="16"/>
        <v>0</v>
      </c>
      <c r="P23" s="38">
        <v>1</v>
      </c>
      <c r="Q23" s="38"/>
      <c r="R23" s="40"/>
      <c r="S23" s="41">
        <f t="shared" si="17"/>
        <v>1</v>
      </c>
      <c r="T23" s="40"/>
      <c r="U23" s="40"/>
      <c r="V23" s="40"/>
      <c r="W23" s="41">
        <f t="shared" si="18"/>
        <v>0</v>
      </c>
      <c r="X23" s="40">
        <f t="shared" si="9"/>
        <v>1</v>
      </c>
      <c r="Y23" s="40">
        <f t="shared" si="6"/>
        <v>0</v>
      </c>
      <c r="Z23" s="40">
        <f t="shared" si="7"/>
        <v>0</v>
      </c>
      <c r="AA23" s="36">
        <f t="shared" si="19"/>
        <v>1</v>
      </c>
      <c r="AC23" s="34"/>
    </row>
    <row r="24" spans="1:29" s="33" customFormat="1" ht="22.5">
      <c r="A24" s="48">
        <v>18</v>
      </c>
      <c r="B24" s="52">
        <v>60111000</v>
      </c>
      <c r="C24" s="51" t="s">
        <v>49</v>
      </c>
      <c r="D24" s="38"/>
      <c r="E24" s="38"/>
      <c r="F24" s="38"/>
      <c r="G24" s="39">
        <f t="shared" si="14"/>
        <v>0</v>
      </c>
      <c r="H24" s="38"/>
      <c r="I24" s="38"/>
      <c r="J24" s="38"/>
      <c r="K24" s="39">
        <f t="shared" si="15"/>
        <v>0</v>
      </c>
      <c r="L24" s="38"/>
      <c r="M24" s="38"/>
      <c r="N24" s="38"/>
      <c r="O24" s="41">
        <f t="shared" si="16"/>
        <v>0</v>
      </c>
      <c r="P24" s="38"/>
      <c r="Q24" s="38"/>
      <c r="R24" s="40"/>
      <c r="S24" s="41">
        <f t="shared" si="17"/>
        <v>0</v>
      </c>
      <c r="T24" s="40"/>
      <c r="U24" s="40"/>
      <c r="V24" s="40"/>
      <c r="W24" s="41">
        <f t="shared" si="18"/>
        <v>0</v>
      </c>
      <c r="X24" s="40">
        <f t="shared" si="9"/>
        <v>0</v>
      </c>
      <c r="Y24" s="40">
        <f t="shared" si="6"/>
        <v>0</v>
      </c>
      <c r="Z24" s="40">
        <f t="shared" si="7"/>
        <v>0</v>
      </c>
      <c r="AA24" s="36">
        <f t="shared" si="19"/>
        <v>0</v>
      </c>
      <c r="AC24" s="34"/>
    </row>
    <row r="25" spans="1:29" s="33" customFormat="1" ht="12.75">
      <c r="A25" s="48">
        <v>19</v>
      </c>
      <c r="B25" s="52">
        <v>60111100</v>
      </c>
      <c r="C25" s="51" t="s">
        <v>11</v>
      </c>
      <c r="D25" s="38"/>
      <c r="E25" s="38"/>
      <c r="F25" s="38"/>
      <c r="G25" s="39">
        <f t="shared" si="14"/>
        <v>0</v>
      </c>
      <c r="H25" s="38"/>
      <c r="I25" s="38"/>
      <c r="J25" s="38"/>
      <c r="K25" s="39">
        <f t="shared" si="15"/>
        <v>0</v>
      </c>
      <c r="L25" s="38"/>
      <c r="M25" s="38"/>
      <c r="N25" s="38"/>
      <c r="O25" s="41">
        <f t="shared" si="16"/>
        <v>0</v>
      </c>
      <c r="P25" s="38">
        <f>5-1</f>
        <v>4</v>
      </c>
      <c r="Q25" s="38"/>
      <c r="R25" s="40"/>
      <c r="S25" s="41">
        <f t="shared" si="17"/>
        <v>4</v>
      </c>
      <c r="T25" s="40"/>
      <c r="U25" s="40"/>
      <c r="V25" s="40"/>
      <c r="W25" s="41">
        <f t="shared" si="18"/>
        <v>0</v>
      </c>
      <c r="X25" s="40">
        <f t="shared" si="9"/>
        <v>4</v>
      </c>
      <c r="Y25" s="40">
        <f t="shared" si="6"/>
        <v>0</v>
      </c>
      <c r="Z25" s="40">
        <f t="shared" si="7"/>
        <v>0</v>
      </c>
      <c r="AA25" s="36">
        <f t="shared" si="19"/>
        <v>4</v>
      </c>
      <c r="AC25" s="34"/>
    </row>
    <row r="26" spans="1:29" s="33" customFormat="1" ht="12.75">
      <c r="A26" s="48">
        <v>20</v>
      </c>
      <c r="B26" s="52">
        <v>60110500</v>
      </c>
      <c r="C26" s="51" t="s">
        <v>50</v>
      </c>
      <c r="D26" s="38"/>
      <c r="E26" s="38"/>
      <c r="F26" s="38"/>
      <c r="G26" s="39">
        <f t="shared" si="14"/>
        <v>0</v>
      </c>
      <c r="H26" s="38"/>
      <c r="I26" s="38"/>
      <c r="J26" s="38"/>
      <c r="K26" s="39">
        <f t="shared" si="15"/>
        <v>0</v>
      </c>
      <c r="L26" s="38"/>
      <c r="M26" s="38"/>
      <c r="N26" s="38"/>
      <c r="O26" s="41">
        <f t="shared" si="16"/>
        <v>0</v>
      </c>
      <c r="P26" s="38">
        <f>1+4-1-1</f>
        <v>3</v>
      </c>
      <c r="Q26" s="38"/>
      <c r="R26" s="40"/>
      <c r="S26" s="41">
        <f t="shared" si="17"/>
        <v>3</v>
      </c>
      <c r="T26" s="40"/>
      <c r="U26" s="40"/>
      <c r="V26" s="40"/>
      <c r="W26" s="41">
        <f t="shared" si="18"/>
        <v>0</v>
      </c>
      <c r="X26" s="40">
        <f t="shared" si="9"/>
        <v>3</v>
      </c>
      <c r="Y26" s="40">
        <f t="shared" si="6"/>
        <v>0</v>
      </c>
      <c r="Z26" s="40">
        <f t="shared" si="7"/>
        <v>0</v>
      </c>
      <c r="AA26" s="36">
        <f t="shared" si="19"/>
        <v>3</v>
      </c>
      <c r="AC26" s="34"/>
    </row>
    <row r="27" spans="1:29" s="33" customFormat="1" ht="12.75">
      <c r="A27" s="48">
        <v>21</v>
      </c>
      <c r="B27" s="52">
        <v>60540100</v>
      </c>
      <c r="C27" s="51" t="s">
        <v>51</v>
      </c>
      <c r="D27" s="38"/>
      <c r="E27" s="38"/>
      <c r="F27" s="38"/>
      <c r="G27" s="39">
        <f t="shared" si="14"/>
        <v>0</v>
      </c>
      <c r="H27" s="38">
        <f>1-1</f>
        <v>0</v>
      </c>
      <c r="I27" s="38"/>
      <c r="J27" s="38"/>
      <c r="K27" s="39">
        <f t="shared" si="15"/>
        <v>0</v>
      </c>
      <c r="L27" s="38"/>
      <c r="M27" s="38"/>
      <c r="N27" s="38"/>
      <c r="O27" s="41">
        <f t="shared" si="16"/>
        <v>0</v>
      </c>
      <c r="P27" s="38"/>
      <c r="Q27" s="38"/>
      <c r="R27" s="40"/>
      <c r="S27" s="41">
        <f t="shared" si="17"/>
        <v>0</v>
      </c>
      <c r="T27" s="40"/>
      <c r="U27" s="40"/>
      <c r="V27" s="40"/>
      <c r="W27" s="41">
        <f t="shared" si="18"/>
        <v>0</v>
      </c>
      <c r="X27" s="40">
        <f t="shared" si="9"/>
        <v>0</v>
      </c>
      <c r="Y27" s="40">
        <f t="shared" si="6"/>
        <v>0</v>
      </c>
      <c r="Z27" s="40">
        <f t="shared" si="7"/>
        <v>0</v>
      </c>
      <c r="AA27" s="36">
        <f t="shared" si="19"/>
        <v>0</v>
      </c>
      <c r="AC27" s="34"/>
    </row>
    <row r="28" spans="1:29" s="33" customFormat="1" ht="12.75">
      <c r="A28" s="48">
        <v>22</v>
      </c>
      <c r="B28" s="52">
        <v>60411400</v>
      </c>
      <c r="C28" s="51" t="s">
        <v>53</v>
      </c>
      <c r="D28" s="38"/>
      <c r="E28" s="38"/>
      <c r="F28" s="38"/>
      <c r="G28" s="39">
        <f t="shared" si="14"/>
        <v>0</v>
      </c>
      <c r="H28" s="38"/>
      <c r="I28" s="38"/>
      <c r="J28" s="38"/>
      <c r="K28" s="39">
        <f t="shared" si="15"/>
        <v>0</v>
      </c>
      <c r="L28" s="38"/>
      <c r="M28" s="38"/>
      <c r="N28" s="38"/>
      <c r="O28" s="41">
        <f t="shared" si="16"/>
        <v>0</v>
      </c>
      <c r="P28" s="38">
        <v>1</v>
      </c>
      <c r="Q28" s="38"/>
      <c r="R28" s="40"/>
      <c r="S28" s="41">
        <f t="shared" si="17"/>
        <v>1</v>
      </c>
      <c r="T28" s="40"/>
      <c r="U28" s="40"/>
      <c r="V28" s="40"/>
      <c r="W28" s="41">
        <f t="shared" si="18"/>
        <v>0</v>
      </c>
      <c r="X28" s="40">
        <f t="shared" si="9"/>
        <v>1</v>
      </c>
      <c r="Y28" s="40">
        <f t="shared" si="6"/>
        <v>0</v>
      </c>
      <c r="Z28" s="40">
        <f t="shared" si="7"/>
        <v>0</v>
      </c>
      <c r="AA28" s="36">
        <f t="shared" si="19"/>
        <v>1</v>
      </c>
      <c r="AC28" s="34"/>
    </row>
    <row r="29" spans="1:29" s="33" customFormat="1" ht="12.75">
      <c r="A29" s="48">
        <v>23</v>
      </c>
      <c r="B29" s="52">
        <v>60920100</v>
      </c>
      <c r="C29" s="51" t="s">
        <v>54</v>
      </c>
      <c r="D29" s="38"/>
      <c r="E29" s="38"/>
      <c r="F29" s="38"/>
      <c r="G29" s="39">
        <f t="shared" si="14"/>
        <v>0</v>
      </c>
      <c r="H29" s="38"/>
      <c r="I29" s="38"/>
      <c r="J29" s="38"/>
      <c r="K29" s="39">
        <f t="shared" si="15"/>
        <v>0</v>
      </c>
      <c r="L29" s="38"/>
      <c r="M29" s="38"/>
      <c r="N29" s="38"/>
      <c r="O29" s="41">
        <f t="shared" si="16"/>
        <v>0</v>
      </c>
      <c r="P29" s="38"/>
      <c r="Q29" s="38"/>
      <c r="R29" s="40"/>
      <c r="S29" s="41">
        <f t="shared" si="17"/>
        <v>0</v>
      </c>
      <c r="T29" s="40"/>
      <c r="U29" s="40"/>
      <c r="V29" s="40"/>
      <c r="W29" s="41">
        <f t="shared" si="18"/>
        <v>0</v>
      </c>
      <c r="X29" s="40">
        <f t="shared" si="9"/>
        <v>0</v>
      </c>
      <c r="Y29" s="40">
        <f t="shared" si="6"/>
        <v>0</v>
      </c>
      <c r="Z29" s="40">
        <f t="shared" si="7"/>
        <v>0</v>
      </c>
      <c r="AA29" s="36">
        <f>X29+Y29+Z29</f>
        <v>0</v>
      </c>
      <c r="AC29" s="34"/>
    </row>
    <row r="30" spans="1:29" s="33" customFormat="1" ht="22.5">
      <c r="A30" s="48">
        <v>24</v>
      </c>
      <c r="B30" s="52">
        <v>60420100</v>
      </c>
      <c r="C30" s="51" t="s">
        <v>55</v>
      </c>
      <c r="D30" s="38"/>
      <c r="E30" s="38"/>
      <c r="F30" s="38"/>
      <c r="G30" s="39">
        <f>D30+E30+F30</f>
        <v>0</v>
      </c>
      <c r="H30" s="38">
        <f>3+1</f>
        <v>4</v>
      </c>
      <c r="I30" s="38"/>
      <c r="J30" s="38"/>
      <c r="K30" s="39">
        <f>H30+I30+J30</f>
        <v>4</v>
      </c>
      <c r="L30" s="38"/>
      <c r="M30" s="38"/>
      <c r="N30" s="38"/>
      <c r="O30" s="41">
        <f>L30+M30+N30</f>
        <v>0</v>
      </c>
      <c r="P30" s="38"/>
      <c r="Q30" s="38"/>
      <c r="R30" s="40"/>
      <c r="S30" s="41">
        <f>P30+Q30+R30</f>
        <v>0</v>
      </c>
      <c r="T30" s="40"/>
      <c r="U30" s="40"/>
      <c r="V30" s="40"/>
      <c r="W30" s="41">
        <f>T30+U30+V30</f>
        <v>0</v>
      </c>
      <c r="X30" s="40">
        <f t="shared" si="9"/>
        <v>4</v>
      </c>
      <c r="Y30" s="40">
        <f t="shared" si="6"/>
        <v>0</v>
      </c>
      <c r="Z30" s="40">
        <f t="shared" si="7"/>
        <v>0</v>
      </c>
      <c r="AA30" s="36">
        <f>X30+Y30+Z30</f>
        <v>4</v>
      </c>
      <c r="AC30" s="34"/>
    </row>
    <row r="31" spans="1:29" s="33" customFormat="1" ht="22.5">
      <c r="A31" s="48">
        <v>25</v>
      </c>
      <c r="B31" s="50">
        <v>60230100</v>
      </c>
      <c r="C31" s="51" t="s">
        <v>60</v>
      </c>
      <c r="D31" s="38"/>
      <c r="E31" s="38"/>
      <c r="F31" s="38"/>
      <c r="G31" s="39">
        <f aca="true" t="shared" si="20" ref="G31:G39">D31+E31+F31</f>
        <v>0</v>
      </c>
      <c r="H31" s="38"/>
      <c r="I31" s="38">
        <v>3</v>
      </c>
      <c r="J31" s="38"/>
      <c r="K31" s="39">
        <f aca="true" t="shared" si="21" ref="K31:K39">H31+I31+J31</f>
        <v>3</v>
      </c>
      <c r="L31" s="38"/>
      <c r="M31" s="38"/>
      <c r="N31" s="38"/>
      <c r="O31" s="41">
        <f aca="true" t="shared" si="22" ref="O31:O39">L31+M31+N31</f>
        <v>0</v>
      </c>
      <c r="P31" s="38"/>
      <c r="Q31" s="38"/>
      <c r="R31" s="40"/>
      <c r="S31" s="41">
        <f aca="true" t="shared" si="23" ref="S31:S39">P31+Q31+R31</f>
        <v>0</v>
      </c>
      <c r="T31" s="40"/>
      <c r="U31" s="40"/>
      <c r="V31" s="40"/>
      <c r="W31" s="41">
        <f aca="true" t="shared" si="24" ref="W31:W39">T31+U31+V31</f>
        <v>0</v>
      </c>
      <c r="X31" s="40">
        <f aca="true" t="shared" si="25" ref="X31:X39">H31+L31+P31+D31+T31</f>
        <v>0</v>
      </c>
      <c r="Y31" s="40">
        <f aca="true" t="shared" si="26" ref="Y31:Y39">I31+M31+Q31+E31+U31</f>
        <v>3</v>
      </c>
      <c r="Z31" s="40">
        <f aca="true" t="shared" si="27" ref="Z31:Z39">J31+N31+R31+F31+V31</f>
        <v>0</v>
      </c>
      <c r="AA31" s="36">
        <f aca="true" t="shared" si="28" ref="AA31:AA39">X31+Y31+Z31</f>
        <v>3</v>
      </c>
      <c r="AC31" s="34"/>
    </row>
    <row r="32" spans="1:29" s="33" customFormat="1" ht="22.5">
      <c r="A32" s="48">
        <v>26</v>
      </c>
      <c r="B32" s="50">
        <v>60230100</v>
      </c>
      <c r="C32" s="51" t="s">
        <v>61</v>
      </c>
      <c r="D32" s="38"/>
      <c r="E32" s="38"/>
      <c r="F32" s="38"/>
      <c r="G32" s="39">
        <f t="shared" si="20"/>
        <v>0</v>
      </c>
      <c r="H32" s="38"/>
      <c r="I32" s="38"/>
      <c r="J32" s="38"/>
      <c r="K32" s="39">
        <f t="shared" si="21"/>
        <v>0</v>
      </c>
      <c r="L32" s="38"/>
      <c r="M32" s="38"/>
      <c r="N32" s="38"/>
      <c r="O32" s="41">
        <f t="shared" si="22"/>
        <v>0</v>
      </c>
      <c r="P32" s="38"/>
      <c r="Q32" s="38"/>
      <c r="R32" s="40"/>
      <c r="S32" s="41">
        <f t="shared" si="23"/>
        <v>0</v>
      </c>
      <c r="T32" s="40"/>
      <c r="U32" s="40"/>
      <c r="V32" s="40"/>
      <c r="W32" s="41">
        <f t="shared" si="24"/>
        <v>0</v>
      </c>
      <c r="X32" s="40">
        <f t="shared" si="25"/>
        <v>0</v>
      </c>
      <c r="Y32" s="40">
        <f t="shared" si="26"/>
        <v>0</v>
      </c>
      <c r="Z32" s="40">
        <f t="shared" si="27"/>
        <v>0</v>
      </c>
      <c r="AA32" s="36">
        <f t="shared" si="28"/>
        <v>0</v>
      </c>
      <c r="AC32" s="34"/>
    </row>
    <row r="33" spans="1:29" s="33" customFormat="1" ht="22.5">
      <c r="A33" s="48">
        <v>27</v>
      </c>
      <c r="B33" s="50">
        <v>60310500</v>
      </c>
      <c r="C33" s="51" t="s">
        <v>62</v>
      </c>
      <c r="D33" s="38"/>
      <c r="E33" s="38"/>
      <c r="F33" s="38"/>
      <c r="G33" s="39">
        <f t="shared" si="20"/>
        <v>0</v>
      </c>
      <c r="H33" s="38"/>
      <c r="I33" s="38"/>
      <c r="J33" s="38"/>
      <c r="K33" s="39">
        <f t="shared" si="21"/>
        <v>0</v>
      </c>
      <c r="L33" s="38"/>
      <c r="M33" s="38"/>
      <c r="N33" s="38"/>
      <c r="O33" s="41">
        <f t="shared" si="22"/>
        <v>0</v>
      </c>
      <c r="P33" s="38"/>
      <c r="Q33" s="38"/>
      <c r="R33" s="40"/>
      <c r="S33" s="41">
        <f t="shared" si="23"/>
        <v>0</v>
      </c>
      <c r="T33" s="40"/>
      <c r="U33" s="40"/>
      <c r="V33" s="40"/>
      <c r="W33" s="41">
        <f t="shared" si="24"/>
        <v>0</v>
      </c>
      <c r="X33" s="40">
        <f t="shared" si="25"/>
        <v>0</v>
      </c>
      <c r="Y33" s="40">
        <f t="shared" si="26"/>
        <v>0</v>
      </c>
      <c r="Z33" s="40">
        <f t="shared" si="27"/>
        <v>0</v>
      </c>
      <c r="AA33" s="36">
        <f t="shared" si="28"/>
        <v>0</v>
      </c>
      <c r="AC33" s="34"/>
    </row>
    <row r="34" spans="1:29" s="33" customFormat="1" ht="12.75">
      <c r="A34" s="48">
        <v>28</v>
      </c>
      <c r="B34" s="50">
        <v>60540200</v>
      </c>
      <c r="C34" s="51" t="s">
        <v>63</v>
      </c>
      <c r="D34" s="38">
        <v>1</v>
      </c>
      <c r="E34" s="38"/>
      <c r="F34" s="38"/>
      <c r="G34" s="39">
        <f t="shared" si="20"/>
        <v>1</v>
      </c>
      <c r="H34" s="38">
        <v>1</v>
      </c>
      <c r="I34" s="38"/>
      <c r="J34" s="38"/>
      <c r="K34" s="39">
        <f t="shared" si="21"/>
        <v>1</v>
      </c>
      <c r="L34" s="38"/>
      <c r="M34" s="38"/>
      <c r="N34" s="38"/>
      <c r="O34" s="41">
        <f t="shared" si="22"/>
        <v>0</v>
      </c>
      <c r="P34" s="38"/>
      <c r="Q34" s="38"/>
      <c r="R34" s="40"/>
      <c r="S34" s="41">
        <f t="shared" si="23"/>
        <v>0</v>
      </c>
      <c r="T34" s="40"/>
      <c r="U34" s="40"/>
      <c r="V34" s="40"/>
      <c r="W34" s="41">
        <f t="shared" si="24"/>
        <v>0</v>
      </c>
      <c r="X34" s="40">
        <f t="shared" si="25"/>
        <v>2</v>
      </c>
      <c r="Y34" s="40">
        <f t="shared" si="26"/>
        <v>0</v>
      </c>
      <c r="Z34" s="40">
        <f t="shared" si="27"/>
        <v>0</v>
      </c>
      <c r="AA34" s="36">
        <f t="shared" si="28"/>
        <v>2</v>
      </c>
      <c r="AC34" s="34"/>
    </row>
    <row r="35" spans="1:29" s="33" customFormat="1" ht="21" customHeight="1">
      <c r="A35" s="67"/>
      <c r="B35" s="102" t="s">
        <v>70</v>
      </c>
      <c r="C35" s="103"/>
      <c r="D35" s="65">
        <f>+D36+D37+D38+D39</f>
        <v>0</v>
      </c>
      <c r="E35" s="65">
        <f>+E36+E37+E38+E39</f>
        <v>0</v>
      </c>
      <c r="F35" s="65">
        <f aca="true" t="shared" si="29" ref="F35:AB35">+F36+F37+F38+F39</f>
        <v>0</v>
      </c>
      <c r="G35" s="65">
        <f t="shared" si="29"/>
        <v>0</v>
      </c>
      <c r="H35" s="65">
        <f t="shared" si="29"/>
        <v>0</v>
      </c>
      <c r="I35" s="65">
        <f t="shared" si="29"/>
        <v>0</v>
      </c>
      <c r="J35" s="65">
        <f t="shared" si="29"/>
        <v>0</v>
      </c>
      <c r="K35" s="65">
        <f t="shared" si="29"/>
        <v>0</v>
      </c>
      <c r="L35" s="65">
        <f t="shared" si="29"/>
        <v>0</v>
      </c>
      <c r="M35" s="65">
        <f t="shared" si="29"/>
        <v>0</v>
      </c>
      <c r="N35" s="65">
        <f t="shared" si="29"/>
        <v>0</v>
      </c>
      <c r="O35" s="65">
        <f t="shared" si="29"/>
        <v>0</v>
      </c>
      <c r="P35" s="65">
        <f t="shared" si="29"/>
        <v>0</v>
      </c>
      <c r="Q35" s="65">
        <f t="shared" si="29"/>
        <v>0</v>
      </c>
      <c r="R35" s="65">
        <f t="shared" si="29"/>
        <v>0</v>
      </c>
      <c r="S35" s="65">
        <f t="shared" si="29"/>
        <v>0</v>
      </c>
      <c r="T35" s="65">
        <f t="shared" si="29"/>
        <v>0</v>
      </c>
      <c r="U35" s="65">
        <f t="shared" si="29"/>
        <v>0</v>
      </c>
      <c r="V35" s="65">
        <f t="shared" si="29"/>
        <v>0</v>
      </c>
      <c r="W35" s="65">
        <f t="shared" si="29"/>
        <v>0</v>
      </c>
      <c r="X35" s="65">
        <f t="shared" si="29"/>
        <v>0</v>
      </c>
      <c r="Y35" s="65">
        <f t="shared" si="29"/>
        <v>0</v>
      </c>
      <c r="Z35" s="65">
        <f t="shared" si="29"/>
        <v>0</v>
      </c>
      <c r="AA35" s="65">
        <f t="shared" si="29"/>
        <v>0</v>
      </c>
      <c r="AB35" s="65">
        <f t="shared" si="29"/>
        <v>0</v>
      </c>
      <c r="AC35" s="34"/>
    </row>
    <row r="36" spans="1:29" s="33" customFormat="1" ht="12.75">
      <c r="A36" s="48">
        <v>29</v>
      </c>
      <c r="B36" s="50">
        <v>60811500</v>
      </c>
      <c r="C36" s="51" t="s">
        <v>64</v>
      </c>
      <c r="D36" s="38"/>
      <c r="E36" s="38"/>
      <c r="F36" s="38"/>
      <c r="G36" s="39">
        <f t="shared" si="20"/>
        <v>0</v>
      </c>
      <c r="H36" s="38"/>
      <c r="I36" s="38"/>
      <c r="J36" s="38"/>
      <c r="K36" s="39">
        <f t="shared" si="21"/>
        <v>0</v>
      </c>
      <c r="L36" s="38"/>
      <c r="M36" s="38"/>
      <c r="N36" s="38"/>
      <c r="O36" s="41">
        <f t="shared" si="22"/>
        <v>0</v>
      </c>
      <c r="P36" s="40"/>
      <c r="Q36" s="40"/>
      <c r="R36" s="40"/>
      <c r="S36" s="41">
        <f t="shared" si="23"/>
        <v>0</v>
      </c>
      <c r="T36" s="40"/>
      <c r="U36" s="40"/>
      <c r="V36" s="40"/>
      <c r="W36" s="41">
        <f t="shared" si="24"/>
        <v>0</v>
      </c>
      <c r="X36" s="40">
        <f t="shared" si="25"/>
        <v>0</v>
      </c>
      <c r="Y36" s="40">
        <f t="shared" si="26"/>
        <v>0</v>
      </c>
      <c r="Z36" s="40">
        <f t="shared" si="27"/>
        <v>0</v>
      </c>
      <c r="AA36" s="36">
        <f t="shared" si="28"/>
        <v>0</v>
      </c>
      <c r="AC36" s="34"/>
    </row>
    <row r="37" spans="1:29" s="33" customFormat="1" ht="12.75">
      <c r="A37" s="48">
        <v>30</v>
      </c>
      <c r="B37" s="50">
        <v>60811800</v>
      </c>
      <c r="C37" s="51" t="s">
        <v>65</v>
      </c>
      <c r="D37" s="38"/>
      <c r="E37" s="38"/>
      <c r="F37" s="38"/>
      <c r="G37" s="39">
        <f t="shared" si="20"/>
        <v>0</v>
      </c>
      <c r="H37" s="38"/>
      <c r="I37" s="38"/>
      <c r="J37" s="38"/>
      <c r="K37" s="39">
        <f t="shared" si="21"/>
        <v>0</v>
      </c>
      <c r="L37" s="38"/>
      <c r="M37" s="38"/>
      <c r="N37" s="38"/>
      <c r="O37" s="41">
        <f t="shared" si="22"/>
        <v>0</v>
      </c>
      <c r="P37" s="40"/>
      <c r="Q37" s="40"/>
      <c r="R37" s="40"/>
      <c r="S37" s="41">
        <f t="shared" si="23"/>
        <v>0</v>
      </c>
      <c r="T37" s="40"/>
      <c r="U37" s="40"/>
      <c r="V37" s="40"/>
      <c r="W37" s="41">
        <f t="shared" si="24"/>
        <v>0</v>
      </c>
      <c r="X37" s="40">
        <f t="shared" si="25"/>
        <v>0</v>
      </c>
      <c r="Y37" s="40">
        <f t="shared" si="26"/>
        <v>0</v>
      </c>
      <c r="Z37" s="40">
        <f t="shared" si="27"/>
        <v>0</v>
      </c>
      <c r="AA37" s="36">
        <f t="shared" si="28"/>
        <v>0</v>
      </c>
      <c r="AC37" s="34"/>
    </row>
    <row r="38" spans="1:29" s="33" customFormat="1" ht="22.5">
      <c r="A38" s="48">
        <v>31</v>
      </c>
      <c r="B38" s="50">
        <v>60811900</v>
      </c>
      <c r="C38" s="51" t="s">
        <v>66</v>
      </c>
      <c r="D38" s="38"/>
      <c r="E38" s="38"/>
      <c r="F38" s="38"/>
      <c r="G38" s="39">
        <f t="shared" si="20"/>
        <v>0</v>
      </c>
      <c r="H38" s="38"/>
      <c r="I38" s="38"/>
      <c r="J38" s="38"/>
      <c r="K38" s="39">
        <f t="shared" si="21"/>
        <v>0</v>
      </c>
      <c r="L38" s="38"/>
      <c r="M38" s="38"/>
      <c r="N38" s="38"/>
      <c r="O38" s="41">
        <f t="shared" si="22"/>
        <v>0</v>
      </c>
      <c r="P38" s="40"/>
      <c r="Q38" s="40"/>
      <c r="R38" s="40"/>
      <c r="S38" s="41">
        <f t="shared" si="23"/>
        <v>0</v>
      </c>
      <c r="T38" s="40"/>
      <c r="U38" s="40"/>
      <c r="V38" s="40"/>
      <c r="W38" s="41">
        <f t="shared" si="24"/>
        <v>0</v>
      </c>
      <c r="X38" s="40">
        <f t="shared" si="25"/>
        <v>0</v>
      </c>
      <c r="Y38" s="40">
        <f t="shared" si="26"/>
        <v>0</v>
      </c>
      <c r="Z38" s="40">
        <f t="shared" si="27"/>
        <v>0</v>
      </c>
      <c r="AA38" s="36">
        <f t="shared" si="28"/>
        <v>0</v>
      </c>
      <c r="AC38" s="34"/>
    </row>
    <row r="39" spans="1:29" s="33" customFormat="1" ht="22.5">
      <c r="A39" s="48">
        <v>32</v>
      </c>
      <c r="B39" s="50">
        <v>60812000</v>
      </c>
      <c r="C39" s="51" t="s">
        <v>67</v>
      </c>
      <c r="D39" s="38"/>
      <c r="E39" s="38"/>
      <c r="F39" s="38"/>
      <c r="G39" s="39">
        <f t="shared" si="20"/>
        <v>0</v>
      </c>
      <c r="H39" s="38"/>
      <c r="I39" s="38"/>
      <c r="J39" s="38"/>
      <c r="K39" s="39">
        <f t="shared" si="21"/>
        <v>0</v>
      </c>
      <c r="L39" s="38"/>
      <c r="M39" s="38"/>
      <c r="N39" s="38"/>
      <c r="O39" s="41">
        <f t="shared" si="22"/>
        <v>0</v>
      </c>
      <c r="P39" s="40"/>
      <c r="Q39" s="40"/>
      <c r="R39" s="40"/>
      <c r="S39" s="41">
        <f t="shared" si="23"/>
        <v>0</v>
      </c>
      <c r="T39" s="40"/>
      <c r="U39" s="40"/>
      <c r="V39" s="40"/>
      <c r="W39" s="41">
        <f t="shared" si="24"/>
        <v>0</v>
      </c>
      <c r="X39" s="40">
        <f t="shared" si="25"/>
        <v>0</v>
      </c>
      <c r="Y39" s="40">
        <f t="shared" si="26"/>
        <v>0</v>
      </c>
      <c r="Z39" s="40">
        <f t="shared" si="27"/>
        <v>0</v>
      </c>
      <c r="AA39" s="36">
        <f t="shared" si="28"/>
        <v>0</v>
      </c>
      <c r="AC39" s="34"/>
    </row>
    <row r="40" spans="1:27" ht="12.75">
      <c r="A40" s="69"/>
      <c r="B40" s="70"/>
      <c r="C40" s="69" t="s">
        <v>5</v>
      </c>
      <c r="D40" s="71">
        <f>+D35+D6</f>
        <v>11</v>
      </c>
      <c r="E40" s="71">
        <f aca="true" t="shared" si="30" ref="E40:AA40">+E35+E6</f>
        <v>0</v>
      </c>
      <c r="F40" s="71">
        <f t="shared" si="30"/>
        <v>0</v>
      </c>
      <c r="G40" s="71">
        <f t="shared" si="30"/>
        <v>11</v>
      </c>
      <c r="H40" s="71">
        <f t="shared" si="30"/>
        <v>11</v>
      </c>
      <c r="I40" s="71">
        <f t="shared" si="30"/>
        <v>3</v>
      </c>
      <c r="J40" s="71">
        <f t="shared" si="30"/>
        <v>0</v>
      </c>
      <c r="K40" s="71">
        <f t="shared" si="30"/>
        <v>14</v>
      </c>
      <c r="L40" s="71">
        <f t="shared" si="30"/>
        <v>8</v>
      </c>
      <c r="M40" s="71">
        <f t="shared" si="30"/>
        <v>0</v>
      </c>
      <c r="N40" s="71">
        <f t="shared" si="30"/>
        <v>0</v>
      </c>
      <c r="O40" s="71">
        <f t="shared" si="30"/>
        <v>8</v>
      </c>
      <c r="P40" s="71">
        <f t="shared" si="30"/>
        <v>30</v>
      </c>
      <c r="Q40" s="71">
        <f t="shared" si="30"/>
        <v>1</v>
      </c>
      <c r="R40" s="71">
        <f t="shared" si="30"/>
        <v>0</v>
      </c>
      <c r="S40" s="71">
        <f t="shared" si="30"/>
        <v>31</v>
      </c>
      <c r="T40" s="71">
        <f t="shared" si="30"/>
        <v>15</v>
      </c>
      <c r="U40" s="71">
        <f t="shared" si="30"/>
        <v>0</v>
      </c>
      <c r="V40" s="71">
        <f t="shared" si="30"/>
        <v>0</v>
      </c>
      <c r="W40" s="71">
        <f t="shared" si="30"/>
        <v>15</v>
      </c>
      <c r="X40" s="71">
        <f t="shared" si="30"/>
        <v>75</v>
      </c>
      <c r="Y40" s="71">
        <f t="shared" si="30"/>
        <v>4</v>
      </c>
      <c r="Z40" s="71">
        <f t="shared" si="30"/>
        <v>0</v>
      </c>
      <c r="AA40" s="71">
        <f t="shared" si="30"/>
        <v>79</v>
      </c>
    </row>
    <row r="42" spans="3:8" ht="12.75">
      <c r="C42" s="28" t="s">
        <v>15</v>
      </c>
      <c r="D42" s="27">
        <f>AA9+AA11+AA12+AA13+AA14+AA15+AA17+AA16</f>
        <v>36</v>
      </c>
      <c r="H42" s="37"/>
    </row>
    <row r="43" spans="3:8" ht="22.5">
      <c r="C43" s="29" t="s">
        <v>16</v>
      </c>
      <c r="D43" s="27"/>
      <c r="H43" s="37"/>
    </row>
    <row r="44" spans="3:8" ht="12.75">
      <c r="C44" s="29" t="s">
        <v>17</v>
      </c>
      <c r="D44" s="27"/>
      <c r="H44" s="37"/>
    </row>
    <row r="45" spans="3:8" ht="12.75">
      <c r="C45" s="29" t="s">
        <v>18</v>
      </c>
      <c r="D45" s="27"/>
      <c r="H45" s="37"/>
    </row>
    <row r="46" spans="3:8" ht="22.5">
      <c r="C46" s="30" t="s">
        <v>19</v>
      </c>
      <c r="D46" s="27">
        <f>AA7+AA10+AA8</f>
        <v>7</v>
      </c>
      <c r="H46" s="37"/>
    </row>
    <row r="47" spans="3:8" ht="22.5">
      <c r="C47" s="28" t="s">
        <v>20</v>
      </c>
      <c r="D47" s="27"/>
      <c r="H47" s="37"/>
    </row>
    <row r="48" spans="3:8" ht="12.75">
      <c r="C48" s="28"/>
      <c r="D48" s="27"/>
      <c r="H48" s="37"/>
    </row>
    <row r="49" spans="3:4" ht="12.75">
      <c r="C49" s="57" t="s">
        <v>31</v>
      </c>
      <c r="D49" s="60">
        <f>+AA12+AA31+AA32+AA13</f>
        <v>23</v>
      </c>
    </row>
    <row r="50" spans="3:4" ht="22.5">
      <c r="C50" s="58" t="s">
        <v>47</v>
      </c>
      <c r="D50" s="60">
        <f>+AA9+AA11+AA14+AA16+AA18+AA19+AA22+AA23+AA25+AA26</f>
        <v>27</v>
      </c>
    </row>
    <row r="51" spans="3:4" ht="12.75">
      <c r="C51" s="57" t="s">
        <v>42</v>
      </c>
      <c r="D51" s="60">
        <f>+AA8+AA20</f>
        <v>12</v>
      </c>
    </row>
    <row r="52" spans="3:4" ht="12.75">
      <c r="C52" s="61" t="s">
        <v>33</v>
      </c>
      <c r="D52" s="60">
        <f>+AA29</f>
        <v>0</v>
      </c>
    </row>
    <row r="53" spans="3:4" ht="12.75">
      <c r="C53" s="57" t="s">
        <v>43</v>
      </c>
      <c r="D53" s="60">
        <f>+AA7+AA10+AA28+AA33</f>
        <v>8</v>
      </c>
    </row>
    <row r="54" spans="3:4" ht="12.75">
      <c r="C54" s="57" t="s">
        <v>32</v>
      </c>
      <c r="D54" s="60">
        <f>+AA17</f>
        <v>3</v>
      </c>
    </row>
    <row r="55" spans="3:4" ht="12.75">
      <c r="C55" s="57" t="s">
        <v>44</v>
      </c>
      <c r="D55" s="60">
        <f>+AA24+AA21</f>
        <v>0</v>
      </c>
    </row>
    <row r="56" spans="3:4" ht="12.75">
      <c r="C56" s="57" t="s">
        <v>57</v>
      </c>
      <c r="D56" s="60">
        <f>+AA30</f>
        <v>4</v>
      </c>
    </row>
    <row r="57" spans="3:4" ht="12.75">
      <c r="C57" s="57" t="s">
        <v>45</v>
      </c>
      <c r="D57" s="60">
        <f>+AA27+AA34+AA15</f>
        <v>2</v>
      </c>
    </row>
    <row r="58" spans="3:4" ht="12.75">
      <c r="C58" s="59" t="s">
        <v>46</v>
      </c>
      <c r="D58" s="60"/>
    </row>
    <row r="59" spans="3:4" ht="13.5">
      <c r="C59" s="63" t="s">
        <v>68</v>
      </c>
      <c r="D59" s="60">
        <f>+AA36+AA37+AA38+AA39</f>
        <v>0</v>
      </c>
    </row>
  </sheetData>
  <sheetProtection/>
  <mergeCells count="7">
    <mergeCell ref="B35:C35"/>
    <mergeCell ref="B6:C6"/>
    <mergeCell ref="A1:AA1"/>
    <mergeCell ref="A2:AA2"/>
    <mergeCell ref="C3:C4"/>
    <mergeCell ref="A5:AA5"/>
    <mergeCell ref="B3:B4"/>
  </mergeCells>
  <printOptions/>
  <pageMargins left="0.8267716535433072" right="0.6692913385826772" top="0.5118110236220472" bottom="0.2755905511811024" header="0.5118110236220472" footer="0.2755905511811024"/>
  <pageSetup horizontalDpi="300" verticalDpi="3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9"/>
  <sheetViews>
    <sheetView view="pageBreakPreview" zoomScale="115" zoomScaleSheetLayoutView="115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:C34"/>
    </sheetView>
  </sheetViews>
  <sheetFormatPr defaultColWidth="9.00390625" defaultRowHeight="12.75"/>
  <cols>
    <col min="1" max="1" width="3.00390625" style="0" customWidth="1"/>
    <col min="2" max="2" width="7.875" style="46" bestFit="1" customWidth="1"/>
    <col min="3" max="3" width="23.25390625" style="0" customWidth="1"/>
    <col min="4" max="4" width="5.75390625" style="0" customWidth="1"/>
    <col min="5" max="5" width="3.375" style="0" customWidth="1"/>
    <col min="6" max="6" width="4.00390625" style="0" customWidth="1"/>
    <col min="7" max="7" width="5.625" style="0" customWidth="1"/>
    <col min="8" max="8" width="5.75390625" style="0" customWidth="1"/>
    <col min="9" max="9" width="3.375" style="0" customWidth="1"/>
    <col min="10" max="10" width="4.00390625" style="0" customWidth="1"/>
    <col min="11" max="11" width="5.625" style="0" customWidth="1"/>
    <col min="12" max="12" width="4.875" style="0" customWidth="1"/>
    <col min="13" max="14" width="3.875" style="0" customWidth="1"/>
    <col min="15" max="15" width="5.625" style="0" bestFit="1" customWidth="1"/>
    <col min="16" max="16" width="5.00390625" style="0" bestFit="1" customWidth="1"/>
    <col min="17" max="18" width="3.75390625" style="0" customWidth="1"/>
    <col min="19" max="19" width="5.625" style="0" customWidth="1"/>
    <col min="20" max="20" width="5.00390625" style="0" bestFit="1" customWidth="1"/>
    <col min="21" max="22" width="3.75390625" style="0" customWidth="1"/>
    <col min="23" max="23" width="5.625" style="0" customWidth="1"/>
    <col min="24" max="24" width="5.75390625" style="0" customWidth="1"/>
    <col min="25" max="25" width="4.125" style="0" customWidth="1"/>
    <col min="26" max="26" width="4.25390625" style="0" customWidth="1"/>
    <col min="27" max="27" width="6.00390625" style="0" customWidth="1"/>
    <col min="28" max="28" width="18.75390625" style="0" bestFit="1" customWidth="1"/>
    <col min="29" max="29" width="9.125" style="1" customWidth="1"/>
  </cols>
  <sheetData>
    <row r="1" spans="1:27" ht="29.25" customHeight="1">
      <c r="A1" s="91" t="s">
        <v>39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</row>
    <row r="2" spans="1:27" ht="15.75">
      <c r="A2" s="106" t="str">
        <f>контингент!A2</f>
        <v>01.11.2023 йил холати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</row>
    <row r="3" spans="1:29" s="7" customFormat="1" ht="12.75">
      <c r="A3" s="19"/>
      <c r="B3" s="110" t="s">
        <v>41</v>
      </c>
      <c r="C3" s="107" t="s">
        <v>0</v>
      </c>
      <c r="D3" s="19"/>
      <c r="E3" s="20" t="s">
        <v>25</v>
      </c>
      <c r="F3" s="21"/>
      <c r="G3" s="22"/>
      <c r="H3" s="19"/>
      <c r="I3" s="20" t="s">
        <v>9</v>
      </c>
      <c r="J3" s="21"/>
      <c r="K3" s="22"/>
      <c r="L3" s="19"/>
      <c r="M3" s="20" t="s">
        <v>10</v>
      </c>
      <c r="N3" s="21"/>
      <c r="O3" s="22"/>
      <c r="P3" s="19"/>
      <c r="Q3" s="20" t="s">
        <v>1</v>
      </c>
      <c r="R3" s="21"/>
      <c r="S3" s="22"/>
      <c r="T3" s="19"/>
      <c r="U3" s="20" t="s">
        <v>59</v>
      </c>
      <c r="V3" s="21"/>
      <c r="W3" s="22"/>
      <c r="X3" s="19"/>
      <c r="Y3" s="20" t="s">
        <v>5</v>
      </c>
      <c r="Z3" s="21"/>
      <c r="AA3" s="23"/>
      <c r="AC3" s="9"/>
    </row>
    <row r="4" spans="1:29" s="7" customFormat="1" ht="12.75">
      <c r="A4" s="24"/>
      <c r="B4" s="111"/>
      <c r="C4" s="108"/>
      <c r="D4" s="23" t="s">
        <v>2</v>
      </c>
      <c r="E4" s="23" t="s">
        <v>6</v>
      </c>
      <c r="F4" s="23" t="s">
        <v>4</v>
      </c>
      <c r="G4" s="23" t="s">
        <v>5</v>
      </c>
      <c r="H4" s="23" t="s">
        <v>2</v>
      </c>
      <c r="I4" s="23" t="s">
        <v>6</v>
      </c>
      <c r="J4" s="23" t="s">
        <v>4</v>
      </c>
      <c r="K4" s="23" t="s">
        <v>5</v>
      </c>
      <c r="L4" s="23" t="s">
        <v>8</v>
      </c>
      <c r="M4" s="23" t="s">
        <v>6</v>
      </c>
      <c r="N4" s="23" t="s">
        <v>7</v>
      </c>
      <c r="O4" s="23" t="s">
        <v>5</v>
      </c>
      <c r="P4" s="23" t="s">
        <v>2</v>
      </c>
      <c r="Q4" s="23" t="s">
        <v>6</v>
      </c>
      <c r="R4" s="23" t="s">
        <v>7</v>
      </c>
      <c r="S4" s="23" t="s">
        <v>5</v>
      </c>
      <c r="T4" s="23" t="s">
        <v>2</v>
      </c>
      <c r="U4" s="23" t="s">
        <v>6</v>
      </c>
      <c r="V4" s="23" t="s">
        <v>7</v>
      </c>
      <c r="W4" s="23" t="s">
        <v>5</v>
      </c>
      <c r="X4" s="23" t="s">
        <v>2</v>
      </c>
      <c r="Y4" s="23" t="s">
        <v>3</v>
      </c>
      <c r="Z4" s="23" t="s">
        <v>4</v>
      </c>
      <c r="AA4" s="23" t="s">
        <v>5</v>
      </c>
      <c r="AC4" s="9"/>
    </row>
    <row r="5" spans="1:27" ht="12.75">
      <c r="A5" s="109" t="s">
        <v>29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</row>
    <row r="6" spans="1:27" ht="12.75">
      <c r="A6" s="66"/>
      <c r="B6" s="104" t="s">
        <v>69</v>
      </c>
      <c r="C6" s="105"/>
      <c r="D6" s="66">
        <f>+D7+D8+D9+D10+D11+D12+D13+D14+D15+D16+D17+D18+D19+D20+D21+D22+D23+D24+D25+D26+D27+D28+D29+D30+D32+D33+D34+D31</f>
        <v>337</v>
      </c>
      <c r="E6" s="66">
        <f>+E7+E8+E9+E10+E11+E12+E13+E14+E15+E16+E17+E18+E19+E20+E21+E22+E23+E24+E25+E26+E27+E28+E29+E30+E32+E33+E34+E31</f>
        <v>0</v>
      </c>
      <c r="F6" s="66">
        <f aca="true" t="shared" si="0" ref="F6:AA6">+F7+F8+F9+F10+F11+F12+F13+F14+F15+F16+F17+F18+F19+F20+F21+F22+F23+F24+F25+F26+F27+F28+F29+F30+F32+F33+F34+F31</f>
        <v>0</v>
      </c>
      <c r="G6" s="66">
        <f t="shared" si="0"/>
        <v>337</v>
      </c>
      <c r="H6" s="66">
        <f t="shared" si="0"/>
        <v>213</v>
      </c>
      <c r="I6" s="66">
        <f t="shared" si="0"/>
        <v>36</v>
      </c>
      <c r="J6" s="66">
        <f t="shared" si="0"/>
        <v>16</v>
      </c>
      <c r="K6" s="66">
        <f t="shared" si="0"/>
        <v>265</v>
      </c>
      <c r="L6" s="66">
        <f t="shared" si="0"/>
        <v>488</v>
      </c>
      <c r="M6" s="66">
        <f t="shared" si="0"/>
        <v>0</v>
      </c>
      <c r="N6" s="66">
        <f t="shared" si="0"/>
        <v>0</v>
      </c>
      <c r="O6" s="66">
        <f t="shared" si="0"/>
        <v>488</v>
      </c>
      <c r="P6" s="66">
        <f t="shared" si="0"/>
        <v>3973</v>
      </c>
      <c r="Q6" s="66">
        <f t="shared" si="0"/>
        <v>112</v>
      </c>
      <c r="R6" s="66">
        <f t="shared" si="0"/>
        <v>0</v>
      </c>
      <c r="S6" s="66">
        <f t="shared" si="0"/>
        <v>4085</v>
      </c>
      <c r="T6" s="66">
        <f t="shared" si="0"/>
        <v>1833</v>
      </c>
      <c r="U6" s="66">
        <f t="shared" si="0"/>
        <v>54</v>
      </c>
      <c r="V6" s="66">
        <f t="shared" si="0"/>
        <v>0</v>
      </c>
      <c r="W6" s="66">
        <f t="shared" si="0"/>
        <v>1887</v>
      </c>
      <c r="X6" s="66">
        <f t="shared" si="0"/>
        <v>6844</v>
      </c>
      <c r="Y6" s="66">
        <f t="shared" si="0"/>
        <v>202</v>
      </c>
      <c r="Z6" s="66">
        <f t="shared" si="0"/>
        <v>16</v>
      </c>
      <c r="AA6" s="66">
        <f t="shared" si="0"/>
        <v>7062</v>
      </c>
    </row>
    <row r="7" spans="1:29" s="33" customFormat="1" ht="22.5">
      <c r="A7" s="48">
        <v>1</v>
      </c>
      <c r="B7" s="52">
        <v>60230600</v>
      </c>
      <c r="C7" s="51" t="s">
        <v>52</v>
      </c>
      <c r="D7" s="38">
        <f>контингент!E7-Byudjet!D7</f>
        <v>28</v>
      </c>
      <c r="E7" s="38">
        <f>контингент!F7-Byudjet!E7</f>
        <v>0</v>
      </c>
      <c r="F7" s="38">
        <f>контингент!G7-Byudjet!F7</f>
        <v>0</v>
      </c>
      <c r="G7" s="39">
        <f aca="true" t="shared" si="1" ref="G7:G20">D7+E7+F7</f>
        <v>28</v>
      </c>
      <c r="H7" s="38">
        <f>контингент!J7-Byudjet!H7</f>
        <v>29</v>
      </c>
      <c r="I7" s="38">
        <f>контингент!K7-Byudjet!I7</f>
        <v>0</v>
      </c>
      <c r="J7" s="38">
        <f>контингент!L7-Byudjet!J7</f>
        <v>0</v>
      </c>
      <c r="K7" s="39">
        <f aca="true" t="shared" si="2" ref="K7:K13">H7+I7+J7</f>
        <v>29</v>
      </c>
      <c r="L7" s="40">
        <f>контингент!O7-Byudjet!L7</f>
        <v>46</v>
      </c>
      <c r="M7" s="40">
        <f>контингент!P7-Byudjet!M7</f>
        <v>0</v>
      </c>
      <c r="N7" s="40">
        <f>контингент!Q7-Byudjet!N7</f>
        <v>0</v>
      </c>
      <c r="O7" s="41">
        <f aca="true" t="shared" si="3" ref="O7:O13">L7+M7+N7</f>
        <v>46</v>
      </c>
      <c r="P7" s="40">
        <f>контингент!T7-Byudjet!P7</f>
        <v>153</v>
      </c>
      <c r="Q7" s="40">
        <f>контингент!U7-Byudjet!Q7</f>
        <v>0</v>
      </c>
      <c r="R7" s="40">
        <f>контингент!V7-Byudjet!R7</f>
        <v>0</v>
      </c>
      <c r="S7" s="41">
        <f aca="true" t="shared" si="4" ref="S7:S13">P7+Q7+R7</f>
        <v>153</v>
      </c>
      <c r="T7" s="40">
        <f>контингент!Y7-Byudjet!T7</f>
        <v>140</v>
      </c>
      <c r="U7" s="40">
        <f>контингент!Z7-Byudjet!U7</f>
        <v>0</v>
      </c>
      <c r="V7" s="40">
        <f>контингент!AA7-Byudjet!V7</f>
        <v>0</v>
      </c>
      <c r="W7" s="41">
        <f aca="true" t="shared" si="5" ref="W7:W20">T7+U7+V7</f>
        <v>140</v>
      </c>
      <c r="X7" s="40">
        <f>H7+L7+P7+D7+T7</f>
        <v>396</v>
      </c>
      <c r="Y7" s="40">
        <f aca="true" t="shared" si="6" ref="Y7:Y30">I7+M7+Q7+E7+U7</f>
        <v>0</v>
      </c>
      <c r="Z7" s="40">
        <f aca="true" t="shared" si="7" ref="Z7:Z30">J7+N7+R7+F7+V7</f>
        <v>0</v>
      </c>
      <c r="AA7" s="36">
        <f aca="true" t="shared" si="8" ref="AA7:AA13">X7+Y7+Z7</f>
        <v>396</v>
      </c>
      <c r="AC7" s="34"/>
    </row>
    <row r="8" spans="1:29" s="31" customFormat="1" ht="12.75">
      <c r="A8" s="48">
        <v>2</v>
      </c>
      <c r="B8" s="89">
        <v>60530400</v>
      </c>
      <c r="C8" s="89" t="s">
        <v>40</v>
      </c>
      <c r="D8" s="38">
        <f>контингент!E8-Byudjet!D8</f>
        <v>53</v>
      </c>
      <c r="E8" s="38">
        <f>контингент!F8-Byudjet!E8</f>
        <v>0</v>
      </c>
      <c r="F8" s="38">
        <f>контингент!G8-Byudjet!F8</f>
        <v>0</v>
      </c>
      <c r="G8" s="39">
        <f t="shared" si="1"/>
        <v>53</v>
      </c>
      <c r="H8" s="38">
        <f>контингент!J8-Byudjet!H8</f>
        <v>0</v>
      </c>
      <c r="I8" s="38">
        <f>контингент!K8-Byudjet!I8</f>
        <v>0</v>
      </c>
      <c r="J8" s="38">
        <f>контингент!L8-Byudjet!J8</f>
        <v>0</v>
      </c>
      <c r="K8" s="39">
        <f t="shared" si="2"/>
        <v>0</v>
      </c>
      <c r="L8" s="40">
        <f>контингент!O8-Byudjet!L8</f>
        <v>0</v>
      </c>
      <c r="M8" s="40">
        <f>контингент!P8-Byudjet!M8</f>
        <v>0</v>
      </c>
      <c r="N8" s="40">
        <f>контингент!Q8-Byudjet!N8</f>
        <v>0</v>
      </c>
      <c r="O8" s="41">
        <f t="shared" si="3"/>
        <v>0</v>
      </c>
      <c r="P8" s="40">
        <f>контингент!T8-Byudjet!P8</f>
        <v>0</v>
      </c>
      <c r="Q8" s="40">
        <f>контингент!U8-Byudjet!Q8</f>
        <v>0</v>
      </c>
      <c r="R8" s="40">
        <f>контингент!V8-Byudjet!R8</f>
        <v>0</v>
      </c>
      <c r="S8" s="41">
        <f t="shared" si="4"/>
        <v>0</v>
      </c>
      <c r="T8" s="40">
        <f>контингент!Y8-Byudjet!T8</f>
        <v>0</v>
      </c>
      <c r="U8" s="40">
        <f>контингент!Z8-Byudjet!U8</f>
        <v>0</v>
      </c>
      <c r="V8" s="40">
        <f>контингент!AA8-Byudjet!V8</f>
        <v>0</v>
      </c>
      <c r="W8" s="41">
        <f t="shared" si="5"/>
        <v>0</v>
      </c>
      <c r="X8" s="40">
        <f aca="true" t="shared" si="9" ref="X8:X30">H8+L8+P8+D8+T8</f>
        <v>53</v>
      </c>
      <c r="Y8" s="40">
        <f t="shared" si="6"/>
        <v>0</v>
      </c>
      <c r="Z8" s="40">
        <f t="shared" si="7"/>
        <v>0</v>
      </c>
      <c r="AA8" s="36">
        <f t="shared" si="8"/>
        <v>53</v>
      </c>
      <c r="AC8" s="32"/>
    </row>
    <row r="9" spans="1:29" s="31" customFormat="1" ht="12.75">
      <c r="A9" s="48">
        <v>3</v>
      </c>
      <c r="B9" s="53">
        <v>60110200</v>
      </c>
      <c r="C9" s="47" t="s">
        <v>28</v>
      </c>
      <c r="D9" s="38">
        <f>контингент!E9-Byudjet!D9</f>
        <v>0</v>
      </c>
      <c r="E9" s="38">
        <f>контингент!F9-Byudjet!E9</f>
        <v>0</v>
      </c>
      <c r="F9" s="38">
        <f>контингент!G9-Byudjet!F9</f>
        <v>0</v>
      </c>
      <c r="G9" s="39">
        <f t="shared" si="1"/>
        <v>0</v>
      </c>
      <c r="H9" s="38">
        <f>контингент!J9-Byudjet!H9</f>
        <v>0</v>
      </c>
      <c r="I9" s="38">
        <f>контингент!K9-Byudjet!I9</f>
        <v>0</v>
      </c>
      <c r="J9" s="38">
        <f>контингент!L9-Byudjet!J9</f>
        <v>0</v>
      </c>
      <c r="K9" s="39">
        <f t="shared" si="2"/>
        <v>0</v>
      </c>
      <c r="L9" s="40">
        <f>контингент!O9-Byudjet!L9</f>
        <v>8</v>
      </c>
      <c r="M9" s="40">
        <f>контингент!P9-Byudjet!M9</f>
        <v>0</v>
      </c>
      <c r="N9" s="40">
        <f>контингент!Q9-Byudjet!N9</f>
        <v>0</v>
      </c>
      <c r="O9" s="41">
        <f t="shared" si="3"/>
        <v>8</v>
      </c>
      <c r="P9" s="40">
        <f>контингент!T9-Byudjet!P9</f>
        <v>329</v>
      </c>
      <c r="Q9" s="40">
        <f>контингент!U9-Byudjet!Q9</f>
        <v>30</v>
      </c>
      <c r="R9" s="40">
        <f>контингент!V9-Byudjet!R9</f>
        <v>0</v>
      </c>
      <c r="S9" s="41">
        <f t="shared" si="4"/>
        <v>359</v>
      </c>
      <c r="T9" s="40">
        <f>контингент!Y9-Byudjet!T9</f>
        <v>0</v>
      </c>
      <c r="U9" s="40">
        <f>контингент!Z9-Byudjet!U9</f>
        <v>0</v>
      </c>
      <c r="V9" s="40">
        <f>контингент!AA9-Byudjet!V9</f>
        <v>0</v>
      </c>
      <c r="W9" s="41">
        <f t="shared" si="5"/>
        <v>0</v>
      </c>
      <c r="X9" s="40">
        <f t="shared" si="9"/>
        <v>337</v>
      </c>
      <c r="Y9" s="40">
        <f t="shared" si="6"/>
        <v>30</v>
      </c>
      <c r="Z9" s="40">
        <f t="shared" si="7"/>
        <v>0</v>
      </c>
      <c r="AA9" s="36">
        <f t="shared" si="8"/>
        <v>367</v>
      </c>
      <c r="AC9" s="32"/>
    </row>
    <row r="10" spans="1:29" s="31" customFormat="1" ht="12.75">
      <c r="A10" s="48">
        <v>4</v>
      </c>
      <c r="B10" s="54">
        <v>60411400</v>
      </c>
      <c r="C10" s="47" t="s">
        <v>26</v>
      </c>
      <c r="D10" s="38">
        <f>контингент!E10-Byudjet!D10</f>
        <v>0</v>
      </c>
      <c r="E10" s="38">
        <f>контингент!F10-Byudjet!E10</f>
        <v>0</v>
      </c>
      <c r="F10" s="38">
        <f>контингент!G10-Byudjet!F10</f>
        <v>0</v>
      </c>
      <c r="G10" s="39">
        <f t="shared" si="1"/>
        <v>0</v>
      </c>
      <c r="H10" s="38">
        <f>контингент!J10-Byudjet!H10</f>
        <v>0</v>
      </c>
      <c r="I10" s="38">
        <f>контингент!K10-Byudjet!I10</f>
        <v>0</v>
      </c>
      <c r="J10" s="38">
        <f>контингент!L10-Byudjet!J10</f>
        <v>0</v>
      </c>
      <c r="K10" s="39">
        <f t="shared" si="2"/>
        <v>0</v>
      </c>
      <c r="L10" s="40">
        <f>контингент!O10-Byudjet!L10</f>
        <v>0</v>
      </c>
      <c r="M10" s="40">
        <f>контингент!P10-Byudjet!M10</f>
        <v>0</v>
      </c>
      <c r="N10" s="40">
        <f>контингент!Q10-Byudjet!N10</f>
        <v>0</v>
      </c>
      <c r="O10" s="41">
        <f t="shared" si="3"/>
        <v>0</v>
      </c>
      <c r="P10" s="40">
        <f>контингент!T10-Byudjet!P10</f>
        <v>0</v>
      </c>
      <c r="Q10" s="40">
        <f>контингент!U10-Byudjet!Q10</f>
        <v>0</v>
      </c>
      <c r="R10" s="40">
        <f>контингент!V10-Byudjet!R10</f>
        <v>0</v>
      </c>
      <c r="S10" s="41">
        <f t="shared" si="4"/>
        <v>0</v>
      </c>
      <c r="T10" s="40">
        <f>контингент!Y10-Byudjet!T10</f>
        <v>20</v>
      </c>
      <c r="U10" s="40">
        <f>контингент!Z10-Byudjet!U10</f>
        <v>0</v>
      </c>
      <c r="V10" s="40">
        <f>контингент!AA10-Byudjet!V10</f>
        <v>0</v>
      </c>
      <c r="W10" s="41">
        <f t="shared" si="5"/>
        <v>20</v>
      </c>
      <c r="X10" s="40">
        <f t="shared" si="9"/>
        <v>20</v>
      </c>
      <c r="Y10" s="40">
        <f t="shared" si="6"/>
        <v>0</v>
      </c>
      <c r="Z10" s="40">
        <f t="shared" si="7"/>
        <v>0</v>
      </c>
      <c r="AA10" s="36">
        <f t="shared" si="8"/>
        <v>20</v>
      </c>
      <c r="AC10" s="32"/>
    </row>
    <row r="11" spans="1:29" s="31" customFormat="1" ht="12.75">
      <c r="A11" s="48">
        <v>5</v>
      </c>
      <c r="B11" s="53">
        <v>60111300</v>
      </c>
      <c r="C11" s="49" t="s">
        <v>27</v>
      </c>
      <c r="D11" s="38">
        <f>контингент!E11-Byudjet!D11</f>
        <v>0</v>
      </c>
      <c r="E11" s="38">
        <f>контингент!F11-Byudjet!E11</f>
        <v>0</v>
      </c>
      <c r="F11" s="38">
        <f>контингент!G11-Byudjet!F11</f>
        <v>0</v>
      </c>
      <c r="G11" s="39">
        <f t="shared" si="1"/>
        <v>0</v>
      </c>
      <c r="H11" s="38">
        <f>контингент!J11-Byudjet!H11</f>
        <v>0</v>
      </c>
      <c r="I11" s="38">
        <f>контингент!K11-Byudjet!I11</f>
        <v>0</v>
      </c>
      <c r="J11" s="38">
        <f>контингент!L11-Byudjet!J11</f>
        <v>0</v>
      </c>
      <c r="K11" s="39">
        <f t="shared" si="2"/>
        <v>0</v>
      </c>
      <c r="L11" s="40">
        <f>контингент!O11-Byudjet!L11</f>
        <v>0</v>
      </c>
      <c r="M11" s="40">
        <f>контингент!P11-Byudjet!M11</f>
        <v>0</v>
      </c>
      <c r="N11" s="40">
        <f>контингент!Q11-Byudjet!N11</f>
        <v>0</v>
      </c>
      <c r="O11" s="41">
        <f t="shared" si="3"/>
        <v>0</v>
      </c>
      <c r="P11" s="40">
        <f>контингент!T11-Byudjet!P11</f>
        <v>69</v>
      </c>
      <c r="Q11" s="40">
        <f>контингент!U11-Byudjet!Q11</f>
        <v>0</v>
      </c>
      <c r="R11" s="40">
        <f>контингент!V11-Byudjet!R11</f>
        <v>0</v>
      </c>
      <c r="S11" s="41">
        <f t="shared" si="4"/>
        <v>69</v>
      </c>
      <c r="T11" s="40">
        <f>контингент!Y11-Byudjet!T11</f>
        <v>69</v>
      </c>
      <c r="U11" s="40">
        <f>контингент!Z11-Byudjet!U11</f>
        <v>0</v>
      </c>
      <c r="V11" s="40">
        <f>контингент!AA11-Byudjet!V11</f>
        <v>0</v>
      </c>
      <c r="W11" s="41">
        <f t="shared" si="5"/>
        <v>69</v>
      </c>
      <c r="X11" s="40">
        <f t="shared" si="9"/>
        <v>138</v>
      </c>
      <c r="Y11" s="40">
        <f t="shared" si="6"/>
        <v>0</v>
      </c>
      <c r="Z11" s="40">
        <f t="shared" si="7"/>
        <v>0</v>
      </c>
      <c r="AA11" s="36">
        <f t="shared" si="8"/>
        <v>138</v>
      </c>
      <c r="AC11" s="32"/>
    </row>
    <row r="12" spans="1:29" s="31" customFormat="1" ht="22.5">
      <c r="A12" s="48">
        <v>6</v>
      </c>
      <c r="B12" s="53">
        <v>60230100</v>
      </c>
      <c r="C12" s="49" t="s">
        <v>21</v>
      </c>
      <c r="D12" s="38">
        <f>контингент!E12-Byudjet!D12</f>
        <v>36</v>
      </c>
      <c r="E12" s="38">
        <f>контингент!F12-Byudjet!E12</f>
        <v>0</v>
      </c>
      <c r="F12" s="38">
        <f>контингент!G12-Byudjet!F12</f>
        <v>0</v>
      </c>
      <c r="G12" s="39">
        <f t="shared" si="1"/>
        <v>36</v>
      </c>
      <c r="H12" s="38">
        <f>контингент!J12-Byudjet!H12</f>
        <v>42</v>
      </c>
      <c r="I12" s="38">
        <f>контингент!K12-Byudjet!I12</f>
        <v>0</v>
      </c>
      <c r="J12" s="38">
        <f>контингент!L12-Byudjet!J12</f>
        <v>0</v>
      </c>
      <c r="K12" s="39">
        <f t="shared" si="2"/>
        <v>42</v>
      </c>
      <c r="L12" s="40">
        <f>контингент!O12-Byudjet!L12</f>
        <v>0</v>
      </c>
      <c r="M12" s="40">
        <f>контингент!P12-Byudjet!M12</f>
        <v>0</v>
      </c>
      <c r="N12" s="40">
        <f>контингент!Q12-Byudjet!N12</f>
        <v>0</v>
      </c>
      <c r="O12" s="41">
        <f t="shared" si="3"/>
        <v>0</v>
      </c>
      <c r="P12" s="40">
        <f>контингент!T12-Byudjet!P12</f>
        <v>277</v>
      </c>
      <c r="Q12" s="40">
        <f>контингент!U12-Byudjet!Q12</f>
        <v>0</v>
      </c>
      <c r="R12" s="40">
        <f>контингент!V12-Byudjet!R12</f>
        <v>0</v>
      </c>
      <c r="S12" s="41">
        <f t="shared" si="4"/>
        <v>277</v>
      </c>
      <c r="T12" s="40">
        <f>контингент!Y12-Byudjet!T12</f>
        <v>88</v>
      </c>
      <c r="U12" s="40">
        <f>контингент!Z12-Byudjet!U12</f>
        <v>0</v>
      </c>
      <c r="V12" s="40">
        <f>контингент!AA12-Byudjet!V12</f>
        <v>0</v>
      </c>
      <c r="W12" s="41">
        <f t="shared" si="5"/>
        <v>88</v>
      </c>
      <c r="X12" s="40">
        <f t="shared" si="9"/>
        <v>443</v>
      </c>
      <c r="Y12" s="40">
        <f t="shared" si="6"/>
        <v>0</v>
      </c>
      <c r="Z12" s="40">
        <f t="shared" si="7"/>
        <v>0</v>
      </c>
      <c r="AA12" s="36">
        <f t="shared" si="8"/>
        <v>443</v>
      </c>
      <c r="AB12" s="35"/>
      <c r="AC12" s="32"/>
    </row>
    <row r="13" spans="1:29" s="31" customFormat="1" ht="12.75">
      <c r="A13" s="48">
        <v>7</v>
      </c>
      <c r="B13" s="53">
        <v>60220300</v>
      </c>
      <c r="C13" s="49" t="s">
        <v>11</v>
      </c>
      <c r="D13" s="38">
        <f>контингент!E13-Byudjet!D13</f>
        <v>0</v>
      </c>
      <c r="E13" s="38">
        <f>контингент!F13-Byudjet!E13</f>
        <v>0</v>
      </c>
      <c r="F13" s="38">
        <f>контингент!G13-Byudjet!F13</f>
        <v>0</v>
      </c>
      <c r="G13" s="39">
        <f t="shared" si="1"/>
        <v>0</v>
      </c>
      <c r="H13" s="38">
        <f>контингент!J13-Byudjet!H13</f>
        <v>0</v>
      </c>
      <c r="I13" s="38">
        <f>контингент!K13-Byudjet!I13</f>
        <v>0</v>
      </c>
      <c r="J13" s="38">
        <f>контингент!L13-Byudjet!J13</f>
        <v>0</v>
      </c>
      <c r="K13" s="39">
        <f t="shared" si="2"/>
        <v>0</v>
      </c>
      <c r="L13" s="40">
        <f>контингент!O13-Byudjet!L13</f>
        <v>0</v>
      </c>
      <c r="M13" s="40">
        <f>контингент!P13-Byudjet!M13</f>
        <v>0</v>
      </c>
      <c r="N13" s="40">
        <f>контингент!Q13-Byudjet!N13</f>
        <v>0</v>
      </c>
      <c r="O13" s="41">
        <f t="shared" si="3"/>
        <v>0</v>
      </c>
      <c r="P13" s="40">
        <f>контингент!T13-Byudjet!P13</f>
        <v>0</v>
      </c>
      <c r="Q13" s="40">
        <f>контингент!U13-Byudjet!Q13</f>
        <v>0</v>
      </c>
      <c r="R13" s="40">
        <f>контингент!V13-Byudjet!R13</f>
        <v>0</v>
      </c>
      <c r="S13" s="41">
        <f t="shared" si="4"/>
        <v>0</v>
      </c>
      <c r="T13" s="40">
        <f>контингент!Y13-Byudjet!T13</f>
        <v>168</v>
      </c>
      <c r="U13" s="40">
        <f>контингент!Z13-Byudjet!U13</f>
        <v>0</v>
      </c>
      <c r="V13" s="40">
        <f>контингент!AA13-Byudjet!V13</f>
        <v>0</v>
      </c>
      <c r="W13" s="41">
        <f t="shared" si="5"/>
        <v>168</v>
      </c>
      <c r="X13" s="40">
        <f t="shared" si="9"/>
        <v>168</v>
      </c>
      <c r="Y13" s="40">
        <f t="shared" si="6"/>
        <v>0</v>
      </c>
      <c r="Z13" s="40">
        <f t="shared" si="7"/>
        <v>0</v>
      </c>
      <c r="AA13" s="36">
        <f t="shared" si="8"/>
        <v>168</v>
      </c>
      <c r="AC13" s="32"/>
    </row>
    <row r="14" spans="1:29" s="31" customFormat="1" ht="22.5">
      <c r="A14" s="48">
        <v>8</v>
      </c>
      <c r="B14" s="53">
        <v>60110500</v>
      </c>
      <c r="C14" s="47" t="s">
        <v>22</v>
      </c>
      <c r="D14" s="38">
        <f>контингент!E14-Byudjet!D14</f>
        <v>0</v>
      </c>
      <c r="E14" s="38">
        <f>контингент!F14-Byudjet!E14</f>
        <v>0</v>
      </c>
      <c r="F14" s="38">
        <f>контингент!G14-Byudjet!F14</f>
        <v>0</v>
      </c>
      <c r="G14" s="39">
        <f t="shared" si="1"/>
        <v>0</v>
      </c>
      <c r="H14" s="38">
        <f>контингент!J14-Byudjet!H14</f>
        <v>0</v>
      </c>
      <c r="I14" s="38">
        <f>контингент!K14-Byudjet!I14</f>
        <v>0</v>
      </c>
      <c r="J14" s="38">
        <f>контингент!L14-Byudjet!J14</f>
        <v>0</v>
      </c>
      <c r="K14" s="39">
        <f aca="true" t="shared" si="10" ref="K14:K20">H14+I14+J14</f>
        <v>0</v>
      </c>
      <c r="L14" s="40">
        <f>контингент!O14-Byudjet!L14</f>
        <v>0</v>
      </c>
      <c r="M14" s="40">
        <f>контингент!P14-Byudjet!M14</f>
        <v>0</v>
      </c>
      <c r="N14" s="40">
        <f>контингент!Q14-Byudjet!N14</f>
        <v>0</v>
      </c>
      <c r="O14" s="41">
        <f aca="true" t="shared" si="11" ref="O14:O20">L14+M14+N14</f>
        <v>0</v>
      </c>
      <c r="P14" s="40">
        <f>контингент!T14-Byudjet!P14</f>
        <v>0</v>
      </c>
      <c r="Q14" s="40">
        <f>контингент!U14-Byudjet!Q14</f>
        <v>0</v>
      </c>
      <c r="R14" s="40">
        <f>контингент!V14-Byudjet!R14</f>
        <v>0</v>
      </c>
      <c r="S14" s="41">
        <f aca="true" t="shared" si="12" ref="S14:S20">P14+Q14+R14</f>
        <v>0</v>
      </c>
      <c r="T14" s="40">
        <f>контингент!Y14-Byudjet!T14</f>
        <v>568</v>
      </c>
      <c r="U14" s="40">
        <f>контингент!Z14-Byudjet!U14</f>
        <v>17</v>
      </c>
      <c r="V14" s="40">
        <f>контингент!AA14-Byudjet!V14</f>
        <v>0</v>
      </c>
      <c r="W14" s="41">
        <f t="shared" si="5"/>
        <v>585</v>
      </c>
      <c r="X14" s="40">
        <f t="shared" si="9"/>
        <v>568</v>
      </c>
      <c r="Y14" s="40">
        <f t="shared" si="6"/>
        <v>17</v>
      </c>
      <c r="Z14" s="40">
        <f t="shared" si="7"/>
        <v>0</v>
      </c>
      <c r="AA14" s="36">
        <f aca="true" t="shared" si="13" ref="AA14:AA20">X14+Y14+Z14</f>
        <v>585</v>
      </c>
      <c r="AC14" s="32"/>
    </row>
    <row r="15" spans="1:29" s="31" customFormat="1" ht="22.5">
      <c r="A15" s="48">
        <v>9</v>
      </c>
      <c r="B15" s="53">
        <v>60110600</v>
      </c>
      <c r="C15" s="49" t="s">
        <v>23</v>
      </c>
      <c r="D15" s="38">
        <f>контингент!E15-Byudjet!D15</f>
        <v>0</v>
      </c>
      <c r="E15" s="38">
        <f>контингент!F15-Byudjet!E15</f>
        <v>0</v>
      </c>
      <c r="F15" s="38">
        <f>контингент!G15-Byudjet!F15</f>
        <v>0</v>
      </c>
      <c r="G15" s="39">
        <f t="shared" si="1"/>
        <v>0</v>
      </c>
      <c r="H15" s="38">
        <f>контингент!J15-Byudjet!H15</f>
        <v>0</v>
      </c>
      <c r="I15" s="38">
        <f>контингент!K15-Byudjet!I15</f>
        <v>0</v>
      </c>
      <c r="J15" s="38">
        <f>контингент!L15-Byudjet!J15</f>
        <v>0</v>
      </c>
      <c r="K15" s="39">
        <f t="shared" si="10"/>
        <v>0</v>
      </c>
      <c r="L15" s="40">
        <f>контингент!O15-Byudjet!L15</f>
        <v>0</v>
      </c>
      <c r="M15" s="40">
        <f>контингент!P15-Byudjet!M15</f>
        <v>0</v>
      </c>
      <c r="N15" s="40">
        <f>контингент!Q15-Byudjet!N15</f>
        <v>0</v>
      </c>
      <c r="O15" s="41">
        <f t="shared" si="11"/>
        <v>0</v>
      </c>
      <c r="P15" s="40">
        <f>контингент!T15-Byudjet!P15</f>
        <v>0</v>
      </c>
      <c r="Q15" s="40">
        <f>контингент!U15-Byudjet!Q15</f>
        <v>0</v>
      </c>
      <c r="R15" s="40">
        <f>контингент!V15-Byudjet!R15</f>
        <v>0</v>
      </c>
      <c r="S15" s="41">
        <f t="shared" si="12"/>
        <v>0</v>
      </c>
      <c r="T15" s="40">
        <f>контингент!Y15-Byudjet!T15</f>
        <v>75</v>
      </c>
      <c r="U15" s="40">
        <f>контингент!Z15-Byudjet!U15</f>
        <v>0</v>
      </c>
      <c r="V15" s="40">
        <f>контингент!AA15-Byudjet!V15</f>
        <v>0</v>
      </c>
      <c r="W15" s="41">
        <f t="shared" si="5"/>
        <v>75</v>
      </c>
      <c r="X15" s="40">
        <f t="shared" si="9"/>
        <v>75</v>
      </c>
      <c r="Y15" s="40">
        <f t="shared" si="6"/>
        <v>0</v>
      </c>
      <c r="Z15" s="40">
        <f t="shared" si="7"/>
        <v>0</v>
      </c>
      <c r="AA15" s="36">
        <f t="shared" si="13"/>
        <v>75</v>
      </c>
      <c r="AC15" s="32"/>
    </row>
    <row r="16" spans="1:29" s="31" customFormat="1" ht="12.75">
      <c r="A16" s="48">
        <v>10</v>
      </c>
      <c r="B16" s="53">
        <v>60112200</v>
      </c>
      <c r="C16" s="49" t="s">
        <v>13</v>
      </c>
      <c r="D16" s="38">
        <f>контингент!E16-Byudjet!D16</f>
        <v>0</v>
      </c>
      <c r="E16" s="38">
        <f>контингент!F16-Byudjet!E16</f>
        <v>0</v>
      </c>
      <c r="F16" s="38">
        <f>контингент!G16-Byudjet!F16</f>
        <v>0</v>
      </c>
      <c r="G16" s="39">
        <f t="shared" si="1"/>
        <v>0</v>
      </c>
      <c r="H16" s="38">
        <f>контингент!J16-Byudjet!H16</f>
        <v>0</v>
      </c>
      <c r="I16" s="38">
        <f>контингент!K16-Byudjet!I16</f>
        <v>0</v>
      </c>
      <c r="J16" s="38">
        <f>контингент!L16-Byudjet!J16</f>
        <v>0</v>
      </c>
      <c r="K16" s="39">
        <f t="shared" si="10"/>
        <v>0</v>
      </c>
      <c r="L16" s="40">
        <f>контингент!O16-Byudjet!L16</f>
        <v>56</v>
      </c>
      <c r="M16" s="40">
        <f>контингент!P16-Byudjet!M16</f>
        <v>0</v>
      </c>
      <c r="N16" s="40">
        <f>контингент!Q16-Byudjet!N16</f>
        <v>0</v>
      </c>
      <c r="O16" s="41">
        <f t="shared" si="11"/>
        <v>56</v>
      </c>
      <c r="P16" s="40">
        <f>контингент!T16-Byudjet!P16</f>
        <v>409</v>
      </c>
      <c r="Q16" s="40">
        <f>контингент!U16-Byudjet!Q16</f>
        <v>23</v>
      </c>
      <c r="R16" s="40">
        <f>контингент!V16-Byudjet!R16</f>
        <v>0</v>
      </c>
      <c r="S16" s="41">
        <f t="shared" si="12"/>
        <v>432</v>
      </c>
      <c r="T16" s="40">
        <f>контингент!Y16-Byudjet!T16</f>
        <v>240</v>
      </c>
      <c r="U16" s="40">
        <f>контингент!Z16-Byudjet!U16</f>
        <v>16</v>
      </c>
      <c r="V16" s="40">
        <f>контингент!AA16-Byudjet!V16</f>
        <v>0</v>
      </c>
      <c r="W16" s="41">
        <f t="shared" si="5"/>
        <v>256</v>
      </c>
      <c r="X16" s="40">
        <f t="shared" si="9"/>
        <v>705</v>
      </c>
      <c r="Y16" s="40">
        <f t="shared" si="6"/>
        <v>39</v>
      </c>
      <c r="Z16" s="40">
        <f t="shared" si="7"/>
        <v>0</v>
      </c>
      <c r="AA16" s="36">
        <f t="shared" si="13"/>
        <v>744</v>
      </c>
      <c r="AC16" s="32"/>
    </row>
    <row r="17" spans="1:29" s="33" customFormat="1" ht="12.75">
      <c r="A17" s="48">
        <v>11</v>
      </c>
      <c r="B17" s="53">
        <v>60510100</v>
      </c>
      <c r="C17" s="49" t="s">
        <v>24</v>
      </c>
      <c r="D17" s="38">
        <f>контингент!E17-Byudjet!D17</f>
        <v>47</v>
      </c>
      <c r="E17" s="38">
        <f>контингент!F17-Byudjet!E17</f>
        <v>0</v>
      </c>
      <c r="F17" s="38">
        <f>контингент!G17-Byudjet!F17</f>
        <v>0</v>
      </c>
      <c r="G17" s="39">
        <f t="shared" si="1"/>
        <v>47</v>
      </c>
      <c r="H17" s="38">
        <f>контингент!J17-Byudjet!H17</f>
        <v>0</v>
      </c>
      <c r="I17" s="38">
        <f>контингент!K17-Byudjet!I17</f>
        <v>0</v>
      </c>
      <c r="J17" s="38">
        <f>контингент!L17-Byudjet!J17</f>
        <v>0</v>
      </c>
      <c r="K17" s="39">
        <f t="shared" si="10"/>
        <v>0</v>
      </c>
      <c r="L17" s="40">
        <f>контингент!O17-Byudjet!L17</f>
        <v>0</v>
      </c>
      <c r="M17" s="40">
        <f>контингент!P17-Byudjet!M17</f>
        <v>0</v>
      </c>
      <c r="N17" s="40">
        <f>контингент!Q17-Byudjet!N17</f>
        <v>0</v>
      </c>
      <c r="O17" s="41">
        <f t="shared" si="11"/>
        <v>0</v>
      </c>
      <c r="P17" s="40">
        <f>контингент!T17-Byudjet!P17</f>
        <v>0</v>
      </c>
      <c r="Q17" s="40">
        <f>контингент!U17-Byudjet!Q17</f>
        <v>0</v>
      </c>
      <c r="R17" s="40">
        <f>контингент!V17-Byudjet!R17</f>
        <v>0</v>
      </c>
      <c r="S17" s="41">
        <f t="shared" si="12"/>
        <v>0</v>
      </c>
      <c r="T17" s="40">
        <f>контингент!Y17-Byudjet!T17</f>
        <v>170</v>
      </c>
      <c r="U17" s="40">
        <f>контингент!Z17-Byudjet!U17</f>
        <v>0</v>
      </c>
      <c r="V17" s="40">
        <f>контингент!AA17-Byudjet!V17</f>
        <v>0</v>
      </c>
      <c r="W17" s="41">
        <f t="shared" si="5"/>
        <v>170</v>
      </c>
      <c r="X17" s="40">
        <f t="shared" si="9"/>
        <v>217</v>
      </c>
      <c r="Y17" s="40">
        <f t="shared" si="6"/>
        <v>0</v>
      </c>
      <c r="Z17" s="40">
        <f t="shared" si="7"/>
        <v>0</v>
      </c>
      <c r="AA17" s="36">
        <f t="shared" si="13"/>
        <v>217</v>
      </c>
      <c r="AC17" s="34"/>
    </row>
    <row r="18" spans="1:29" s="33" customFormat="1" ht="22.5">
      <c r="A18" s="48">
        <v>12</v>
      </c>
      <c r="B18" s="53">
        <v>60111200</v>
      </c>
      <c r="C18" s="49" t="s">
        <v>35</v>
      </c>
      <c r="D18" s="38">
        <f>контингент!E18-Byudjet!D18</f>
        <v>0</v>
      </c>
      <c r="E18" s="38">
        <f>контингент!F18-Byudjet!E18</f>
        <v>0</v>
      </c>
      <c r="F18" s="38">
        <f>контингент!G18-Byudjet!F18</f>
        <v>0</v>
      </c>
      <c r="G18" s="39">
        <f t="shared" si="1"/>
        <v>0</v>
      </c>
      <c r="H18" s="38">
        <f>контингент!J18-Byudjet!H18</f>
        <v>0</v>
      </c>
      <c r="I18" s="38">
        <f>контингент!K18-Byudjet!I18</f>
        <v>0</v>
      </c>
      <c r="J18" s="38">
        <f>контингент!L18-Byudjet!J18</f>
        <v>0</v>
      </c>
      <c r="K18" s="39">
        <f t="shared" si="10"/>
        <v>0</v>
      </c>
      <c r="L18" s="40">
        <f>контингент!O18-Byudjet!L18</f>
        <v>0</v>
      </c>
      <c r="M18" s="40">
        <f>контингент!P18-Byudjet!M18</f>
        <v>0</v>
      </c>
      <c r="N18" s="40">
        <f>контингент!Q18-Byudjet!N18</f>
        <v>0</v>
      </c>
      <c r="O18" s="41">
        <f t="shared" si="11"/>
        <v>0</v>
      </c>
      <c r="P18" s="40">
        <f>контингент!T18-Byudjet!P18</f>
        <v>52</v>
      </c>
      <c r="Q18" s="40">
        <f>контингент!U18-Byudjet!Q18</f>
        <v>0</v>
      </c>
      <c r="R18" s="40">
        <f>контингент!V18-Byudjet!R18</f>
        <v>0</v>
      </c>
      <c r="S18" s="41">
        <f t="shared" si="12"/>
        <v>52</v>
      </c>
      <c r="T18" s="40">
        <f>контингент!Y18-Byudjet!T18</f>
        <v>69</v>
      </c>
      <c r="U18" s="40">
        <f>контингент!Z18-Byudjet!U18</f>
        <v>0</v>
      </c>
      <c r="V18" s="40">
        <f>контингент!AA18-Byudjet!V18</f>
        <v>0</v>
      </c>
      <c r="W18" s="41">
        <f t="shared" si="5"/>
        <v>69</v>
      </c>
      <c r="X18" s="40">
        <f t="shared" si="9"/>
        <v>121</v>
      </c>
      <c r="Y18" s="40">
        <f t="shared" si="6"/>
        <v>0</v>
      </c>
      <c r="Z18" s="40">
        <f t="shared" si="7"/>
        <v>0</v>
      </c>
      <c r="AA18" s="36">
        <f t="shared" si="13"/>
        <v>121</v>
      </c>
      <c r="AC18" s="34"/>
    </row>
    <row r="19" spans="1:29" s="33" customFormat="1" ht="12.75">
      <c r="A19" s="48">
        <v>13</v>
      </c>
      <c r="B19" s="53">
        <v>60112300</v>
      </c>
      <c r="C19" s="49" t="s">
        <v>36</v>
      </c>
      <c r="D19" s="38">
        <f>контингент!E19-Byudjet!D19</f>
        <v>0</v>
      </c>
      <c r="E19" s="38">
        <f>контингент!F19-Byudjet!E19</f>
        <v>0</v>
      </c>
      <c r="F19" s="38">
        <f>контингент!G19-Byudjet!F19</f>
        <v>0</v>
      </c>
      <c r="G19" s="39">
        <f t="shared" si="1"/>
        <v>0</v>
      </c>
      <c r="H19" s="38">
        <f>контингент!J19-Byudjet!H19</f>
        <v>0</v>
      </c>
      <c r="I19" s="38">
        <f>контингент!K19-Byudjet!I19</f>
        <v>0</v>
      </c>
      <c r="J19" s="38">
        <f>контингент!L19-Byudjet!J19</f>
        <v>0</v>
      </c>
      <c r="K19" s="39">
        <f t="shared" si="10"/>
        <v>0</v>
      </c>
      <c r="L19" s="40">
        <f>контингент!O19-Byudjet!L19</f>
        <v>10</v>
      </c>
      <c r="M19" s="40">
        <f>контингент!P19-Byudjet!M19</f>
        <v>0</v>
      </c>
      <c r="N19" s="40">
        <f>контингент!Q19-Byudjet!N19</f>
        <v>0</v>
      </c>
      <c r="O19" s="41">
        <f t="shared" si="11"/>
        <v>10</v>
      </c>
      <c r="P19" s="40">
        <f>контингент!T19-Byudjet!P19</f>
        <v>86</v>
      </c>
      <c r="Q19" s="40">
        <f>контингент!U19-Byudjet!Q19</f>
        <v>0</v>
      </c>
      <c r="R19" s="40">
        <f>контингент!V19-Byudjet!R19</f>
        <v>0</v>
      </c>
      <c r="S19" s="41">
        <f t="shared" si="12"/>
        <v>86</v>
      </c>
      <c r="T19" s="40">
        <f>контингент!Y19-Byudjet!T19</f>
        <v>77</v>
      </c>
      <c r="U19" s="40">
        <f>контингент!Z19-Byudjet!U19</f>
        <v>0</v>
      </c>
      <c r="V19" s="40">
        <f>контингент!AA19-Byudjet!V19</f>
        <v>0</v>
      </c>
      <c r="W19" s="41">
        <f t="shared" si="5"/>
        <v>77</v>
      </c>
      <c r="X19" s="40">
        <f t="shared" si="9"/>
        <v>173</v>
      </c>
      <c r="Y19" s="40">
        <f t="shared" si="6"/>
        <v>0</v>
      </c>
      <c r="Z19" s="40">
        <f t="shared" si="7"/>
        <v>0</v>
      </c>
      <c r="AA19" s="36">
        <f t="shared" si="13"/>
        <v>173</v>
      </c>
      <c r="AC19" s="34"/>
    </row>
    <row r="20" spans="1:29" s="33" customFormat="1" ht="22.5">
      <c r="A20" s="48">
        <v>14</v>
      </c>
      <c r="B20" s="53">
        <v>60310900</v>
      </c>
      <c r="C20" s="49" t="s">
        <v>37</v>
      </c>
      <c r="D20" s="38">
        <f>контингент!E20-Byudjet!D20</f>
        <v>70</v>
      </c>
      <c r="E20" s="38">
        <f>контингент!F20-Byudjet!E20</f>
        <v>0</v>
      </c>
      <c r="F20" s="38">
        <f>контингент!G20-Byudjet!F20</f>
        <v>0</v>
      </c>
      <c r="G20" s="39">
        <f t="shared" si="1"/>
        <v>70</v>
      </c>
      <c r="H20" s="38">
        <f>контингент!J20-Byudjet!H20</f>
        <v>0</v>
      </c>
      <c r="I20" s="38">
        <f>контингент!K20-Byudjet!I20</f>
        <v>0</v>
      </c>
      <c r="J20" s="38">
        <f>контингент!L20-Byudjet!J20</f>
        <v>0</v>
      </c>
      <c r="K20" s="39">
        <f t="shared" si="10"/>
        <v>0</v>
      </c>
      <c r="L20" s="40">
        <f>контингент!O20-Byudjet!L20</f>
        <v>149</v>
      </c>
      <c r="M20" s="40">
        <f>контингент!P20-Byudjet!M20</f>
        <v>0</v>
      </c>
      <c r="N20" s="40">
        <f>контингент!Q20-Byudjet!N20</f>
        <v>0</v>
      </c>
      <c r="O20" s="41">
        <f t="shared" si="11"/>
        <v>149</v>
      </c>
      <c r="P20" s="40">
        <f>контингент!T20-Byudjet!P20</f>
        <v>176</v>
      </c>
      <c r="Q20" s="40">
        <f>контингент!U20-Byudjet!Q20</f>
        <v>0</v>
      </c>
      <c r="R20" s="40">
        <f>контингент!V20-Byudjet!R20</f>
        <v>0</v>
      </c>
      <c r="S20" s="41">
        <f t="shared" si="12"/>
        <v>176</v>
      </c>
      <c r="T20" s="40">
        <f>контингент!Y20-Byudjet!T20</f>
        <v>104</v>
      </c>
      <c r="U20" s="40">
        <f>контингент!Z20-Byudjet!U20</f>
        <v>21</v>
      </c>
      <c r="V20" s="40">
        <f>контингент!AA20-Byudjet!V20</f>
        <v>0</v>
      </c>
      <c r="W20" s="41">
        <f t="shared" si="5"/>
        <v>125</v>
      </c>
      <c r="X20" s="40">
        <f t="shared" si="9"/>
        <v>499</v>
      </c>
      <c r="Y20" s="40">
        <f t="shared" si="6"/>
        <v>21</v>
      </c>
      <c r="Z20" s="40">
        <f t="shared" si="7"/>
        <v>0</v>
      </c>
      <c r="AA20" s="36">
        <f t="shared" si="13"/>
        <v>520</v>
      </c>
      <c r="AC20" s="34"/>
    </row>
    <row r="21" spans="1:29" s="33" customFormat="1" ht="12.75">
      <c r="A21" s="48">
        <v>15</v>
      </c>
      <c r="B21" s="53">
        <v>60530400</v>
      </c>
      <c r="C21" s="49" t="s">
        <v>40</v>
      </c>
      <c r="D21" s="38">
        <f>контингент!E21-Byudjet!D21</f>
        <v>0</v>
      </c>
      <c r="E21" s="38">
        <f>контингент!F21-Byudjet!E21</f>
        <v>0</v>
      </c>
      <c r="F21" s="38">
        <f>контингент!G21-Byudjet!F21</f>
        <v>0</v>
      </c>
      <c r="G21" s="39">
        <f>D21+E21+F21</f>
        <v>0</v>
      </c>
      <c r="H21" s="38">
        <f>контингент!J21-Byudjet!H21</f>
        <v>0</v>
      </c>
      <c r="I21" s="38">
        <f>контингент!K21-Byudjet!I21</f>
        <v>0</v>
      </c>
      <c r="J21" s="38">
        <f>контингент!L21-Byudjet!J21</f>
        <v>0</v>
      </c>
      <c r="K21" s="39">
        <f>H21+I21+J21</f>
        <v>0</v>
      </c>
      <c r="L21" s="40">
        <f>контингент!O21-Byudjet!L21</f>
        <v>0</v>
      </c>
      <c r="M21" s="40">
        <f>контингент!P21-Byudjet!M21</f>
        <v>0</v>
      </c>
      <c r="N21" s="40">
        <f>контингент!Q21-Byudjet!N21</f>
        <v>0</v>
      </c>
      <c r="O21" s="41">
        <f>L21+M21+N21</f>
        <v>0</v>
      </c>
      <c r="P21" s="40">
        <f>контингент!T21-Byudjet!P21</f>
        <v>0</v>
      </c>
      <c r="Q21" s="40">
        <f>контингент!U21-Byudjet!Q21</f>
        <v>0</v>
      </c>
      <c r="R21" s="40">
        <f>контингент!V21-Byudjet!R21</f>
        <v>0</v>
      </c>
      <c r="S21" s="41">
        <f>P21+Q21+R21</f>
        <v>0</v>
      </c>
      <c r="T21" s="40">
        <f>контингент!Y21-Byudjet!T21</f>
        <v>45</v>
      </c>
      <c r="U21" s="40">
        <f>контингент!Z21-Byudjet!U21</f>
        <v>0</v>
      </c>
      <c r="V21" s="40">
        <f>контингент!AA21-Byudjet!V21</f>
        <v>0</v>
      </c>
      <c r="W21" s="41">
        <f>T21+U21+V21</f>
        <v>45</v>
      </c>
      <c r="X21" s="40">
        <f t="shared" si="9"/>
        <v>45</v>
      </c>
      <c r="Y21" s="40">
        <f t="shared" si="6"/>
        <v>0</v>
      </c>
      <c r="Z21" s="40">
        <f t="shared" si="7"/>
        <v>0</v>
      </c>
      <c r="AA21" s="36">
        <f>X21+Y21+Z21</f>
        <v>45</v>
      </c>
      <c r="AC21" s="34"/>
    </row>
    <row r="22" spans="1:29" s="33" customFormat="1" ht="12.75">
      <c r="A22" s="48">
        <v>16</v>
      </c>
      <c r="B22" s="52">
        <v>60110600</v>
      </c>
      <c r="C22" s="51" t="s">
        <v>48</v>
      </c>
      <c r="D22" s="38">
        <f>контингент!E22-Byudjet!D22</f>
        <v>0</v>
      </c>
      <c r="E22" s="38">
        <f>контингент!F22-Byudjet!E22</f>
        <v>0</v>
      </c>
      <c r="F22" s="38">
        <f>контингент!G22-Byudjet!F22</f>
        <v>0</v>
      </c>
      <c r="G22" s="39">
        <f aca="true" t="shared" si="14" ref="G22:G28">D22+E22+F22</f>
        <v>0</v>
      </c>
      <c r="H22" s="38">
        <f>контингент!J22-Byudjet!H22</f>
        <v>0</v>
      </c>
      <c r="I22" s="38">
        <f>контингент!K22-Byudjet!I22</f>
        <v>0</v>
      </c>
      <c r="J22" s="38">
        <f>контингент!L22-Byudjet!J22</f>
        <v>0</v>
      </c>
      <c r="K22" s="39">
        <f aca="true" t="shared" si="15" ref="K22:K28">H22+I22+J22</f>
        <v>0</v>
      </c>
      <c r="L22" s="40">
        <f>контингент!O22-Byudjet!L22</f>
        <v>0</v>
      </c>
      <c r="M22" s="40">
        <f>контингент!P22-Byudjet!M22</f>
        <v>0</v>
      </c>
      <c r="N22" s="40">
        <f>контингент!Q22-Byudjet!N22</f>
        <v>0</v>
      </c>
      <c r="O22" s="41">
        <f aca="true" t="shared" si="16" ref="O22:O28">L22+M22+N22</f>
        <v>0</v>
      </c>
      <c r="P22" s="40">
        <f>контингент!T22-Byudjet!P22</f>
        <v>152</v>
      </c>
      <c r="Q22" s="40">
        <f>контингент!U22-Byudjet!Q22</f>
        <v>0</v>
      </c>
      <c r="R22" s="40">
        <f>контингент!V22-Byudjet!R22</f>
        <v>0</v>
      </c>
      <c r="S22" s="41">
        <f aca="true" t="shared" si="17" ref="S22:S28">P22+Q22+R22</f>
        <v>152</v>
      </c>
      <c r="T22" s="40">
        <f>контингент!Y22-Byudjet!T22</f>
        <v>0</v>
      </c>
      <c r="U22" s="40">
        <f>контингент!Z22-Byudjet!U22</f>
        <v>0</v>
      </c>
      <c r="V22" s="40">
        <f>контингент!AA22-Byudjet!V22</f>
        <v>0</v>
      </c>
      <c r="W22" s="41">
        <f aca="true" t="shared" si="18" ref="W22:W28">T22+U22+V22</f>
        <v>0</v>
      </c>
      <c r="X22" s="40">
        <f t="shared" si="9"/>
        <v>152</v>
      </c>
      <c r="Y22" s="40">
        <f t="shared" si="6"/>
        <v>0</v>
      </c>
      <c r="Z22" s="40">
        <f t="shared" si="7"/>
        <v>0</v>
      </c>
      <c r="AA22" s="36">
        <f aca="true" t="shared" si="19" ref="AA22:AA28">X22+Y22+Z22</f>
        <v>152</v>
      </c>
      <c r="AC22" s="34"/>
    </row>
    <row r="23" spans="1:29" s="33" customFormat="1" ht="12.75">
      <c r="A23" s="48">
        <v>17</v>
      </c>
      <c r="B23" s="52">
        <v>60110900</v>
      </c>
      <c r="C23" s="51" t="s">
        <v>12</v>
      </c>
      <c r="D23" s="38">
        <f>контингент!E23-Byudjet!D23</f>
        <v>0</v>
      </c>
      <c r="E23" s="38">
        <f>контингент!F23-Byudjet!E23</f>
        <v>0</v>
      </c>
      <c r="F23" s="38">
        <f>контингент!G23-Byudjet!F23</f>
        <v>0</v>
      </c>
      <c r="G23" s="39">
        <f t="shared" si="14"/>
        <v>0</v>
      </c>
      <c r="H23" s="38">
        <f>контингент!J23-Byudjet!H23</f>
        <v>0</v>
      </c>
      <c r="I23" s="38">
        <f>контингент!K23-Byudjet!I23</f>
        <v>0</v>
      </c>
      <c r="J23" s="38">
        <f>контингент!L23-Byudjet!J23</f>
        <v>0</v>
      </c>
      <c r="K23" s="39">
        <f t="shared" si="15"/>
        <v>0</v>
      </c>
      <c r="L23" s="40">
        <f>контингент!O23-Byudjet!L23</f>
        <v>10</v>
      </c>
      <c r="M23" s="40">
        <f>контингент!P23-Byudjet!M23</f>
        <v>0</v>
      </c>
      <c r="N23" s="40">
        <f>контингент!Q23-Byudjet!N23</f>
        <v>0</v>
      </c>
      <c r="O23" s="41">
        <f t="shared" si="16"/>
        <v>10</v>
      </c>
      <c r="P23" s="40">
        <f>контингент!T23-Byudjet!P23</f>
        <v>253</v>
      </c>
      <c r="Q23" s="40">
        <f>контингент!U23-Byudjet!Q23</f>
        <v>0</v>
      </c>
      <c r="R23" s="40">
        <f>контингент!V23-Byudjet!R23</f>
        <v>0</v>
      </c>
      <c r="S23" s="41">
        <f t="shared" si="17"/>
        <v>253</v>
      </c>
      <c r="T23" s="40">
        <f>контингент!Y23-Byudjet!T23</f>
        <v>0</v>
      </c>
      <c r="U23" s="40">
        <f>контингент!Z23-Byudjet!U23</f>
        <v>0</v>
      </c>
      <c r="V23" s="40">
        <f>контингент!AA23-Byudjet!V23</f>
        <v>0</v>
      </c>
      <c r="W23" s="41">
        <f t="shared" si="18"/>
        <v>0</v>
      </c>
      <c r="X23" s="40">
        <f t="shared" si="9"/>
        <v>263</v>
      </c>
      <c r="Y23" s="40">
        <f t="shared" si="6"/>
        <v>0</v>
      </c>
      <c r="Z23" s="40">
        <f t="shared" si="7"/>
        <v>0</v>
      </c>
      <c r="AA23" s="36">
        <f t="shared" si="19"/>
        <v>263</v>
      </c>
      <c r="AC23" s="34"/>
    </row>
    <row r="24" spans="1:29" s="33" customFormat="1" ht="22.5">
      <c r="A24" s="48">
        <v>18</v>
      </c>
      <c r="B24" s="52">
        <v>60111000</v>
      </c>
      <c r="C24" s="51" t="s">
        <v>49</v>
      </c>
      <c r="D24" s="38">
        <f>контингент!E24-Byudjet!D24</f>
        <v>0</v>
      </c>
      <c r="E24" s="38">
        <f>контингент!F24-Byudjet!E24</f>
        <v>0</v>
      </c>
      <c r="F24" s="38">
        <f>контингент!G24-Byudjet!F24</f>
        <v>0</v>
      </c>
      <c r="G24" s="39">
        <f t="shared" si="14"/>
        <v>0</v>
      </c>
      <c r="H24" s="38">
        <f>контингент!J24-Byudjet!H24</f>
        <v>0</v>
      </c>
      <c r="I24" s="38">
        <f>контингент!K24-Byudjet!I24</f>
        <v>0</v>
      </c>
      <c r="J24" s="38">
        <f>контингент!L24-Byudjet!J24</f>
        <v>0</v>
      </c>
      <c r="K24" s="39">
        <f t="shared" si="15"/>
        <v>0</v>
      </c>
      <c r="L24" s="40">
        <f>контингент!O24-Byudjet!L24</f>
        <v>0</v>
      </c>
      <c r="M24" s="40">
        <f>контингент!P24-Byudjet!M24</f>
        <v>0</v>
      </c>
      <c r="N24" s="40">
        <f>контингент!Q24-Byudjet!N24</f>
        <v>0</v>
      </c>
      <c r="O24" s="41">
        <f t="shared" si="16"/>
        <v>0</v>
      </c>
      <c r="P24" s="40">
        <f>контингент!T24-Byudjet!P24</f>
        <v>132</v>
      </c>
      <c r="Q24" s="40">
        <f>контингент!U24-Byudjet!Q24</f>
        <v>0</v>
      </c>
      <c r="R24" s="40">
        <f>контингент!V24-Byudjet!R24</f>
        <v>0</v>
      </c>
      <c r="S24" s="41">
        <f t="shared" si="17"/>
        <v>132</v>
      </c>
      <c r="T24" s="40">
        <f>контингент!Y24-Byudjet!T24</f>
        <v>0</v>
      </c>
      <c r="U24" s="40">
        <f>контингент!Z24-Byudjet!U24</f>
        <v>0</v>
      </c>
      <c r="V24" s="40">
        <f>контингент!AA24-Byudjet!V24</f>
        <v>0</v>
      </c>
      <c r="W24" s="41">
        <f t="shared" si="18"/>
        <v>0</v>
      </c>
      <c r="X24" s="40">
        <f t="shared" si="9"/>
        <v>132</v>
      </c>
      <c r="Y24" s="40">
        <f t="shared" si="6"/>
        <v>0</v>
      </c>
      <c r="Z24" s="40">
        <f t="shared" si="7"/>
        <v>0</v>
      </c>
      <c r="AA24" s="36">
        <f t="shared" si="19"/>
        <v>132</v>
      </c>
      <c r="AC24" s="34"/>
    </row>
    <row r="25" spans="1:29" s="33" customFormat="1" ht="12.75">
      <c r="A25" s="48">
        <v>19</v>
      </c>
      <c r="B25" s="52">
        <v>60111100</v>
      </c>
      <c r="C25" s="51" t="s">
        <v>11</v>
      </c>
      <c r="D25" s="38">
        <f>контингент!E25-Byudjet!D25</f>
        <v>0</v>
      </c>
      <c r="E25" s="38">
        <f>контингент!F25-Byudjet!E25</f>
        <v>0</v>
      </c>
      <c r="F25" s="38">
        <f>контингент!G25-Byudjet!F25</f>
        <v>0</v>
      </c>
      <c r="G25" s="39">
        <f t="shared" si="14"/>
        <v>0</v>
      </c>
      <c r="H25" s="38">
        <f>контингент!J25-Byudjet!H25</f>
        <v>0</v>
      </c>
      <c r="I25" s="38">
        <f>контингент!K25-Byudjet!I25</f>
        <v>0</v>
      </c>
      <c r="J25" s="38">
        <f>контингент!L25-Byudjet!J25</f>
        <v>0</v>
      </c>
      <c r="K25" s="39">
        <f t="shared" si="15"/>
        <v>0</v>
      </c>
      <c r="L25" s="40">
        <f>контингент!O25-Byudjet!L25</f>
        <v>30</v>
      </c>
      <c r="M25" s="40">
        <f>контингент!P25-Byudjet!M25</f>
        <v>0</v>
      </c>
      <c r="N25" s="40">
        <f>контингент!Q25-Byudjet!N25</f>
        <v>0</v>
      </c>
      <c r="O25" s="41">
        <f t="shared" si="16"/>
        <v>30</v>
      </c>
      <c r="P25" s="40">
        <f>контингент!T25-Byudjet!P25</f>
        <v>437</v>
      </c>
      <c r="Q25" s="40">
        <f>контингент!U25-Byudjet!Q25</f>
        <v>0</v>
      </c>
      <c r="R25" s="40">
        <f>контингент!V25-Byudjet!R25</f>
        <v>0</v>
      </c>
      <c r="S25" s="41">
        <f t="shared" si="17"/>
        <v>437</v>
      </c>
      <c r="T25" s="40">
        <f>контингент!Y25-Byudjet!T25</f>
        <v>0</v>
      </c>
      <c r="U25" s="40">
        <f>контингент!Z25-Byudjet!U25</f>
        <v>0</v>
      </c>
      <c r="V25" s="40">
        <f>контингент!AA25-Byudjet!V25</f>
        <v>0</v>
      </c>
      <c r="W25" s="41">
        <f t="shared" si="18"/>
        <v>0</v>
      </c>
      <c r="X25" s="40">
        <f t="shared" si="9"/>
        <v>467</v>
      </c>
      <c r="Y25" s="40">
        <f t="shared" si="6"/>
        <v>0</v>
      </c>
      <c r="Z25" s="40">
        <f t="shared" si="7"/>
        <v>0</v>
      </c>
      <c r="AA25" s="36">
        <f t="shared" si="19"/>
        <v>467</v>
      </c>
      <c r="AC25" s="34"/>
    </row>
    <row r="26" spans="1:29" s="33" customFormat="1" ht="12.75">
      <c r="A26" s="48">
        <v>20</v>
      </c>
      <c r="B26" s="52">
        <v>60110500</v>
      </c>
      <c r="C26" s="51" t="s">
        <v>50</v>
      </c>
      <c r="D26" s="38">
        <f>контингент!E26-Byudjet!D26</f>
        <v>0</v>
      </c>
      <c r="E26" s="38">
        <f>контингент!F26-Byudjet!E26</f>
        <v>0</v>
      </c>
      <c r="F26" s="38">
        <f>контингент!G26-Byudjet!F26</f>
        <v>0</v>
      </c>
      <c r="G26" s="39">
        <f t="shared" si="14"/>
        <v>0</v>
      </c>
      <c r="H26" s="38">
        <f>контингент!J26-Byudjet!H26</f>
        <v>0</v>
      </c>
      <c r="I26" s="38">
        <f>контингент!K26-Byudjet!I26</f>
        <v>0</v>
      </c>
      <c r="J26" s="38">
        <f>контингент!L26-Byudjet!J26</f>
        <v>0</v>
      </c>
      <c r="K26" s="39">
        <f t="shared" si="15"/>
        <v>0</v>
      </c>
      <c r="L26" s="40">
        <f>контингент!O26-Byudjet!L26</f>
        <v>34</v>
      </c>
      <c r="M26" s="40">
        <f>контингент!P26-Byudjet!M26</f>
        <v>0</v>
      </c>
      <c r="N26" s="40">
        <f>контингент!Q26-Byudjet!N26</f>
        <v>0</v>
      </c>
      <c r="O26" s="41">
        <f t="shared" si="16"/>
        <v>34</v>
      </c>
      <c r="P26" s="40">
        <f>контингент!T26-Byudjet!P26</f>
        <v>1083</v>
      </c>
      <c r="Q26" s="40">
        <f>контингент!U26-Byudjet!Q26</f>
        <v>24</v>
      </c>
      <c r="R26" s="40">
        <f>контингент!V26-Byudjet!R26</f>
        <v>0</v>
      </c>
      <c r="S26" s="41">
        <f t="shared" si="17"/>
        <v>1107</v>
      </c>
      <c r="T26" s="40">
        <f>контингент!Y26-Byudjet!T26</f>
        <v>0</v>
      </c>
      <c r="U26" s="40">
        <f>контингент!Z26-Byudjet!U26</f>
        <v>0</v>
      </c>
      <c r="V26" s="40">
        <f>контингент!AA26-Byudjet!V26</f>
        <v>0</v>
      </c>
      <c r="W26" s="41">
        <f t="shared" si="18"/>
        <v>0</v>
      </c>
      <c r="X26" s="40">
        <f t="shared" si="9"/>
        <v>1117</v>
      </c>
      <c r="Y26" s="40">
        <f t="shared" si="6"/>
        <v>24</v>
      </c>
      <c r="Z26" s="40">
        <f t="shared" si="7"/>
        <v>0</v>
      </c>
      <c r="AA26" s="36">
        <f t="shared" si="19"/>
        <v>1141</v>
      </c>
      <c r="AC26" s="34"/>
    </row>
    <row r="27" spans="1:29" s="33" customFormat="1" ht="12.75">
      <c r="A27" s="48">
        <v>21</v>
      </c>
      <c r="B27" s="52">
        <v>60540100</v>
      </c>
      <c r="C27" s="51" t="s">
        <v>51</v>
      </c>
      <c r="D27" s="38">
        <f>контингент!E27-Byudjet!D27</f>
        <v>51</v>
      </c>
      <c r="E27" s="38">
        <f>контингент!F27-Byudjet!E27</f>
        <v>0</v>
      </c>
      <c r="F27" s="38">
        <f>контингент!G27-Byudjet!F27</f>
        <v>0</v>
      </c>
      <c r="G27" s="39">
        <f t="shared" si="14"/>
        <v>51</v>
      </c>
      <c r="H27" s="38">
        <f>контингент!J27-Byudjet!H27</f>
        <v>25</v>
      </c>
      <c r="I27" s="38">
        <f>контингент!K27-Byudjet!I27</f>
        <v>0</v>
      </c>
      <c r="J27" s="38">
        <f>контингент!L27-Byudjet!J27</f>
        <v>0</v>
      </c>
      <c r="K27" s="39">
        <f t="shared" si="15"/>
        <v>25</v>
      </c>
      <c r="L27" s="40">
        <f>контингент!O27-Byudjet!L27</f>
        <v>18</v>
      </c>
      <c r="M27" s="40">
        <f>контингент!P27-Byudjet!M27</f>
        <v>0</v>
      </c>
      <c r="N27" s="40">
        <f>контингент!Q27-Byudjet!N27</f>
        <v>0</v>
      </c>
      <c r="O27" s="41">
        <f t="shared" si="16"/>
        <v>18</v>
      </c>
      <c r="P27" s="40">
        <f>контингент!T27-Byudjet!P27</f>
        <v>76</v>
      </c>
      <c r="Q27" s="40">
        <f>контингент!U27-Byudjet!Q27</f>
        <v>0</v>
      </c>
      <c r="R27" s="40">
        <f>контингент!V27-Byudjet!R27</f>
        <v>0</v>
      </c>
      <c r="S27" s="41">
        <f t="shared" si="17"/>
        <v>76</v>
      </c>
      <c r="T27" s="40">
        <f>контингент!Y27-Byudjet!T27</f>
        <v>0</v>
      </c>
      <c r="U27" s="40">
        <f>контингент!Z27-Byudjet!U27</f>
        <v>0</v>
      </c>
      <c r="V27" s="40">
        <f>контингент!AA27-Byudjet!V27</f>
        <v>0</v>
      </c>
      <c r="W27" s="41">
        <f t="shared" si="18"/>
        <v>0</v>
      </c>
      <c r="X27" s="40">
        <f t="shared" si="9"/>
        <v>170</v>
      </c>
      <c r="Y27" s="40">
        <f t="shared" si="6"/>
        <v>0</v>
      </c>
      <c r="Z27" s="40">
        <f t="shared" si="7"/>
        <v>0</v>
      </c>
      <c r="AA27" s="36">
        <f t="shared" si="19"/>
        <v>170</v>
      </c>
      <c r="AC27" s="34"/>
    </row>
    <row r="28" spans="1:29" s="33" customFormat="1" ht="12.75">
      <c r="A28" s="48">
        <v>22</v>
      </c>
      <c r="B28" s="52">
        <v>60411400</v>
      </c>
      <c r="C28" s="51" t="s">
        <v>53</v>
      </c>
      <c r="D28" s="38">
        <f>контингент!E28-Byudjet!D28</f>
        <v>0</v>
      </c>
      <c r="E28" s="38">
        <f>контингент!F28-Byudjet!E28</f>
        <v>0</v>
      </c>
      <c r="F28" s="38">
        <f>контингент!G28-Byudjet!F28</f>
        <v>0</v>
      </c>
      <c r="G28" s="39">
        <f t="shared" si="14"/>
        <v>0</v>
      </c>
      <c r="H28" s="38">
        <f>контингент!J28-Byudjet!H28</f>
        <v>0</v>
      </c>
      <c r="I28" s="38">
        <f>контингент!K28-Byudjet!I28</f>
        <v>0</v>
      </c>
      <c r="J28" s="38">
        <f>контингент!L28-Byudjet!J28</f>
        <v>0</v>
      </c>
      <c r="K28" s="39">
        <f t="shared" si="15"/>
        <v>0</v>
      </c>
      <c r="L28" s="40">
        <f>контингент!O28-Byudjet!L28</f>
        <v>26</v>
      </c>
      <c r="M28" s="40">
        <f>контингент!P28-Byudjet!M28</f>
        <v>0</v>
      </c>
      <c r="N28" s="40">
        <f>контингент!Q28-Byudjet!N28</f>
        <v>0</v>
      </c>
      <c r="O28" s="41">
        <f t="shared" si="16"/>
        <v>26</v>
      </c>
      <c r="P28" s="40">
        <f>контингент!T28-Byudjet!P28</f>
        <v>31</v>
      </c>
      <c r="Q28" s="40">
        <f>контингент!U28-Byudjet!Q28</f>
        <v>0</v>
      </c>
      <c r="R28" s="40">
        <f>контингент!V28-Byudjet!R28</f>
        <v>0</v>
      </c>
      <c r="S28" s="41">
        <f t="shared" si="17"/>
        <v>31</v>
      </c>
      <c r="T28" s="40">
        <f>контингент!Y28-Byudjet!T28</f>
        <v>0</v>
      </c>
      <c r="U28" s="40">
        <f>контингент!Z28-Byudjet!U28</f>
        <v>0</v>
      </c>
      <c r="V28" s="40">
        <f>контингент!AA28-Byudjet!V28</f>
        <v>0</v>
      </c>
      <c r="W28" s="41">
        <f t="shared" si="18"/>
        <v>0</v>
      </c>
      <c r="X28" s="40">
        <f t="shared" si="9"/>
        <v>57</v>
      </c>
      <c r="Y28" s="40">
        <f t="shared" si="6"/>
        <v>0</v>
      </c>
      <c r="Z28" s="40">
        <f t="shared" si="7"/>
        <v>0</v>
      </c>
      <c r="AA28" s="36">
        <f t="shared" si="19"/>
        <v>57</v>
      </c>
      <c r="AC28" s="34"/>
    </row>
    <row r="29" spans="1:29" s="33" customFormat="1" ht="12.75">
      <c r="A29" s="48">
        <v>23</v>
      </c>
      <c r="B29" s="52">
        <v>60920100</v>
      </c>
      <c r="C29" s="51" t="s">
        <v>54</v>
      </c>
      <c r="D29" s="38">
        <f>контингент!E29-Byudjet!D29</f>
        <v>0</v>
      </c>
      <c r="E29" s="38">
        <f>контингент!F29-Byudjet!E29</f>
        <v>0</v>
      </c>
      <c r="F29" s="38">
        <f>контингент!G29-Byudjet!F29</f>
        <v>0</v>
      </c>
      <c r="G29" s="38">
        <f>контингент!I29-Byudjet!G29</f>
        <v>0</v>
      </c>
      <c r="H29" s="38">
        <f>контингент!J29-Byudjet!H29</f>
        <v>0</v>
      </c>
      <c r="I29" s="38">
        <f>контингент!K29-Byudjet!I29</f>
        <v>0</v>
      </c>
      <c r="J29" s="38">
        <f>контингент!L29-Byudjet!J29</f>
        <v>0</v>
      </c>
      <c r="K29" s="38">
        <f>контингент!N29-Byudjet!K29</f>
        <v>0</v>
      </c>
      <c r="L29" s="38">
        <f>контингент!O29-Byudjet!L29</f>
        <v>27</v>
      </c>
      <c r="M29" s="38">
        <f>контингент!P29-Byudjet!M29</f>
        <v>0</v>
      </c>
      <c r="N29" s="38">
        <f>контингент!Q29-Byudjet!N29</f>
        <v>0</v>
      </c>
      <c r="O29" s="38">
        <f>контингент!S29-Byudjet!O29</f>
        <v>27</v>
      </c>
      <c r="P29" s="38">
        <f>контингент!T29-Byudjet!P29</f>
        <v>0</v>
      </c>
      <c r="Q29" s="38">
        <f>контингент!U29-Byudjet!Q29</f>
        <v>0</v>
      </c>
      <c r="R29" s="38">
        <f>контингент!V29-Byudjet!R29</f>
        <v>0</v>
      </c>
      <c r="S29" s="38">
        <f>контингент!X29-Byudjet!S29</f>
        <v>0</v>
      </c>
      <c r="T29" s="38">
        <f>контингент!Y29-Byudjet!T29</f>
        <v>0</v>
      </c>
      <c r="U29" s="38">
        <f>контингент!Z29-Byudjet!U29</f>
        <v>0</v>
      </c>
      <c r="V29" s="38">
        <f>контингент!AA29-Byudjet!V29</f>
        <v>0</v>
      </c>
      <c r="W29" s="38">
        <f>контингент!AC29-Byudjet!W29</f>
        <v>0</v>
      </c>
      <c r="X29" s="40">
        <f t="shared" si="9"/>
        <v>27</v>
      </c>
      <c r="Y29" s="40">
        <f t="shared" si="6"/>
        <v>0</v>
      </c>
      <c r="Z29" s="40">
        <f t="shared" si="7"/>
        <v>0</v>
      </c>
      <c r="AA29" s="55">
        <f>контингент!AH29-Byudjet!AA29</f>
        <v>27</v>
      </c>
      <c r="AC29" s="34"/>
    </row>
    <row r="30" spans="1:29" s="33" customFormat="1" ht="22.5">
      <c r="A30" s="48">
        <v>24</v>
      </c>
      <c r="B30" s="52">
        <v>60420100</v>
      </c>
      <c r="C30" s="51" t="s">
        <v>55</v>
      </c>
      <c r="D30" s="38">
        <f>контингент!E30-Byudjet!D30</f>
        <v>0</v>
      </c>
      <c r="E30" s="38">
        <f>контингент!F30-Byudjet!E30</f>
        <v>0</v>
      </c>
      <c r="F30" s="38">
        <f>контингент!G30-Byudjet!F30</f>
        <v>0</v>
      </c>
      <c r="G30" s="38">
        <f>контингент!I30-Byudjet!G30</f>
        <v>0</v>
      </c>
      <c r="H30" s="38">
        <f>контингент!J30-Byudjet!H30</f>
        <v>83</v>
      </c>
      <c r="I30" s="38">
        <f>контингент!K30-Byudjet!I30</f>
        <v>0</v>
      </c>
      <c r="J30" s="38">
        <f>контингент!L30-Byudjet!J30</f>
        <v>0</v>
      </c>
      <c r="K30" s="38">
        <f>контингент!N30-Byudjet!K30</f>
        <v>83</v>
      </c>
      <c r="L30" s="38">
        <f>контингент!O30-Byudjet!L30</f>
        <v>74</v>
      </c>
      <c r="M30" s="38">
        <f>контингент!P30-Byudjet!M30</f>
        <v>0</v>
      </c>
      <c r="N30" s="38">
        <f>контингент!Q30-Byudjet!N30</f>
        <v>0</v>
      </c>
      <c r="O30" s="38">
        <f>контингент!S30-Byudjet!O30</f>
        <v>74</v>
      </c>
      <c r="P30" s="38">
        <f>контингент!T30-Byudjet!P30</f>
        <v>258</v>
      </c>
      <c r="Q30" s="38">
        <f>контингент!U30-Byudjet!Q30</f>
        <v>35</v>
      </c>
      <c r="R30" s="38">
        <f>контингент!V30-Byudjet!R30</f>
        <v>0</v>
      </c>
      <c r="S30" s="38">
        <f>контингент!X30-Byudjet!S30</f>
        <v>293</v>
      </c>
      <c r="T30" s="38">
        <f>контингент!Y30-Byudjet!T30</f>
        <v>0</v>
      </c>
      <c r="U30" s="38">
        <f>контингент!Z30-Byudjet!U30</f>
        <v>0</v>
      </c>
      <c r="V30" s="38">
        <f>контингент!AA30-Byudjet!V30</f>
        <v>0</v>
      </c>
      <c r="W30" s="38">
        <f>контингент!AC30-Byudjet!W30</f>
        <v>0</v>
      </c>
      <c r="X30" s="40">
        <f t="shared" si="9"/>
        <v>415</v>
      </c>
      <c r="Y30" s="40">
        <f t="shared" si="6"/>
        <v>35</v>
      </c>
      <c r="Z30" s="40">
        <f t="shared" si="7"/>
        <v>0</v>
      </c>
      <c r="AA30" s="55">
        <f>контингент!AH30-Byudjet!AA30</f>
        <v>450</v>
      </c>
      <c r="AC30" s="34"/>
    </row>
    <row r="31" spans="1:29" s="33" customFormat="1" ht="22.5">
      <c r="A31" s="48">
        <v>25</v>
      </c>
      <c r="B31" s="50">
        <v>60230100</v>
      </c>
      <c r="C31" s="51" t="s">
        <v>60</v>
      </c>
      <c r="D31" s="38">
        <f>контингент!E31-Byudjet!D31</f>
        <v>0</v>
      </c>
      <c r="E31" s="38">
        <f>контингент!F31-Byudjet!E31</f>
        <v>0</v>
      </c>
      <c r="F31" s="38">
        <f>контингент!G31-Byudjet!F31</f>
        <v>0</v>
      </c>
      <c r="G31" s="38">
        <f>контингент!I31-Byudjet!G31</f>
        <v>0</v>
      </c>
      <c r="H31" s="38">
        <f>контингент!J31-Byudjet!H31</f>
        <v>0</v>
      </c>
      <c r="I31" s="38">
        <f>контингент!K31-Byudjet!I31</f>
        <v>36</v>
      </c>
      <c r="J31" s="38">
        <f>контингент!L31-Byudjet!J31</f>
        <v>0</v>
      </c>
      <c r="K31" s="38">
        <f>контингент!N31-Byudjet!K31</f>
        <v>36</v>
      </c>
      <c r="L31" s="38">
        <f>контингент!O31-Byudjet!L31</f>
        <v>0</v>
      </c>
      <c r="M31" s="38">
        <f>контингент!P31-Byudjet!M31</f>
        <v>0</v>
      </c>
      <c r="N31" s="38">
        <f>контингент!Q31-Byudjet!N31</f>
        <v>0</v>
      </c>
      <c r="O31" s="38">
        <f>контингент!S31-Byudjet!O31</f>
        <v>0</v>
      </c>
      <c r="P31" s="38">
        <f>контингент!T31-Byudjet!P31</f>
        <v>0</v>
      </c>
      <c r="Q31" s="38">
        <f>контингент!U31-Byudjet!Q31</f>
        <v>0</v>
      </c>
      <c r="R31" s="38">
        <f>контингент!V31-Byudjet!R31</f>
        <v>0</v>
      </c>
      <c r="S31" s="38">
        <f>контингент!X31-Byudjet!S31</f>
        <v>0</v>
      </c>
      <c r="T31" s="38">
        <f>контингент!Y31-Byudjet!T31</f>
        <v>0</v>
      </c>
      <c r="U31" s="38">
        <f>контингент!Z31-Byudjet!U31</f>
        <v>0</v>
      </c>
      <c r="V31" s="38">
        <f>контингент!AA31-Byudjet!V31</f>
        <v>0</v>
      </c>
      <c r="W31" s="38">
        <f>контингент!AC31-Byudjet!W31</f>
        <v>0</v>
      </c>
      <c r="X31" s="38">
        <f>контингент!AD31-Byudjet!X31</f>
        <v>0</v>
      </c>
      <c r="Y31" s="38">
        <f>контингент!AE31-Byudjet!Y31</f>
        <v>36</v>
      </c>
      <c r="Z31" s="38">
        <f>контингент!AF31-Byudjet!Z31</f>
        <v>0</v>
      </c>
      <c r="AA31" s="55">
        <f>контингент!AH31-Byudjet!AA31</f>
        <v>36</v>
      </c>
      <c r="AC31" s="34"/>
    </row>
    <row r="32" spans="1:29" s="33" customFormat="1" ht="22.5">
      <c r="A32" s="48">
        <v>26</v>
      </c>
      <c r="B32" s="50">
        <v>60230100</v>
      </c>
      <c r="C32" s="51" t="s">
        <v>61</v>
      </c>
      <c r="D32" s="38">
        <f>контингент!E32-Byudjet!D32</f>
        <v>0</v>
      </c>
      <c r="E32" s="38">
        <f>контингент!F32-Byudjet!E32</f>
        <v>0</v>
      </c>
      <c r="F32" s="38">
        <f>контингент!G32-Byudjet!F32</f>
        <v>0</v>
      </c>
      <c r="G32" s="38">
        <f>контингент!I32-Byudjet!G32</f>
        <v>0</v>
      </c>
      <c r="H32" s="38">
        <f>контингент!J32-Byudjet!H32</f>
        <v>0</v>
      </c>
      <c r="I32" s="38">
        <f>контингент!K32-Byudjet!I32</f>
        <v>0</v>
      </c>
      <c r="J32" s="38">
        <f>контингент!L32-Byudjet!J32</f>
        <v>16</v>
      </c>
      <c r="K32" s="38">
        <f>контингент!N32-Byudjet!K32</f>
        <v>16</v>
      </c>
      <c r="L32" s="38">
        <f>контингент!O32-Byudjet!L32</f>
        <v>0</v>
      </c>
      <c r="M32" s="38">
        <f>контингент!P32-Byudjet!M32</f>
        <v>0</v>
      </c>
      <c r="N32" s="38">
        <f>контингент!Q32-Byudjet!N32</f>
        <v>0</v>
      </c>
      <c r="O32" s="38">
        <f>контингент!S32-Byudjet!O32</f>
        <v>0</v>
      </c>
      <c r="P32" s="38">
        <f>контингент!T32-Byudjet!P32</f>
        <v>0</v>
      </c>
      <c r="Q32" s="38">
        <f>контингент!U32-Byudjet!Q32</f>
        <v>0</v>
      </c>
      <c r="R32" s="38">
        <f>контингент!V32-Byudjet!R32</f>
        <v>0</v>
      </c>
      <c r="S32" s="38">
        <f>контингент!X32-Byudjet!S32</f>
        <v>0</v>
      </c>
      <c r="T32" s="38">
        <f>контингент!Y32-Byudjet!T32</f>
        <v>0</v>
      </c>
      <c r="U32" s="38">
        <f>контингент!Z32-Byudjet!U32</f>
        <v>0</v>
      </c>
      <c r="V32" s="38">
        <f>контингент!AA32-Byudjet!V32</f>
        <v>0</v>
      </c>
      <c r="W32" s="38">
        <f>контингент!AC32-Byudjet!W32</f>
        <v>0</v>
      </c>
      <c r="X32" s="38">
        <f>контингент!AD32-Byudjet!X32</f>
        <v>0</v>
      </c>
      <c r="Y32" s="38">
        <f>контингент!AE32-Byudjet!Y32</f>
        <v>0</v>
      </c>
      <c r="Z32" s="38">
        <f>контингент!AF32-Byudjet!Z32</f>
        <v>16</v>
      </c>
      <c r="AA32" s="55">
        <f>контингент!AH32-Byudjet!AA32</f>
        <v>16</v>
      </c>
      <c r="AC32" s="34"/>
    </row>
    <row r="33" spans="1:29" s="33" customFormat="1" ht="22.5">
      <c r="A33" s="48">
        <v>27</v>
      </c>
      <c r="B33" s="50">
        <v>60310500</v>
      </c>
      <c r="C33" s="51" t="s">
        <v>62</v>
      </c>
      <c r="D33" s="38">
        <f>контингент!E33-Byudjet!D33</f>
        <v>0</v>
      </c>
      <c r="E33" s="38">
        <f>контингент!F33-Byudjet!E33</f>
        <v>0</v>
      </c>
      <c r="F33" s="38">
        <f>контингент!G33-Byudjet!F33</f>
        <v>0</v>
      </c>
      <c r="G33" s="38">
        <f>контингент!I33-Byudjet!G33</f>
        <v>0</v>
      </c>
      <c r="H33" s="38">
        <f>контингент!J33-Byudjet!H33</f>
        <v>16</v>
      </c>
      <c r="I33" s="38">
        <f>контингент!K33-Byudjet!I33</f>
        <v>0</v>
      </c>
      <c r="J33" s="38">
        <f>контингент!L33-Byudjet!J33</f>
        <v>0</v>
      </c>
      <c r="K33" s="38">
        <f>контингент!N33-Byudjet!K33</f>
        <v>16</v>
      </c>
      <c r="L33" s="38">
        <f>контингент!O33-Byudjet!L33</f>
        <v>0</v>
      </c>
      <c r="M33" s="38">
        <f>контингент!P33-Byudjet!M33</f>
        <v>0</v>
      </c>
      <c r="N33" s="38">
        <f>контингент!Q33-Byudjet!N33</f>
        <v>0</v>
      </c>
      <c r="O33" s="38">
        <f>контингент!S33-Byudjet!O33</f>
        <v>0</v>
      </c>
      <c r="P33" s="38">
        <f>контингент!T33-Byudjet!P33</f>
        <v>0</v>
      </c>
      <c r="Q33" s="38">
        <f>контингент!U33-Byudjet!Q33</f>
        <v>0</v>
      </c>
      <c r="R33" s="38">
        <f>контингент!V33-Byudjet!R33</f>
        <v>0</v>
      </c>
      <c r="S33" s="38">
        <f>контингент!X33-Byudjet!S33</f>
        <v>0</v>
      </c>
      <c r="T33" s="38">
        <f>контингент!Y33-Byudjet!T33</f>
        <v>0</v>
      </c>
      <c r="U33" s="38">
        <f>контингент!Z33-Byudjet!U33</f>
        <v>0</v>
      </c>
      <c r="V33" s="38">
        <f>контингент!AA33-Byudjet!V33</f>
        <v>0</v>
      </c>
      <c r="W33" s="38">
        <f>контингент!AC33-Byudjet!W33</f>
        <v>0</v>
      </c>
      <c r="X33" s="38">
        <f>контингент!AD33-Byudjet!X33</f>
        <v>16</v>
      </c>
      <c r="Y33" s="38">
        <f>контингент!AE33-Byudjet!Y33</f>
        <v>0</v>
      </c>
      <c r="Z33" s="38">
        <f>контингент!AF33-Byudjet!Z33</f>
        <v>0</v>
      </c>
      <c r="AA33" s="55">
        <f>контингент!AH33-Byudjet!AA33</f>
        <v>16</v>
      </c>
      <c r="AC33" s="34"/>
    </row>
    <row r="34" spans="1:29" s="33" customFormat="1" ht="12.75">
      <c r="A34" s="48">
        <v>28</v>
      </c>
      <c r="B34" s="50">
        <v>60540200</v>
      </c>
      <c r="C34" s="51" t="s">
        <v>63</v>
      </c>
      <c r="D34" s="38">
        <f>контингент!E34-Byudjet!D34</f>
        <v>52</v>
      </c>
      <c r="E34" s="38">
        <f>контингент!F34-Byudjet!E34</f>
        <v>0</v>
      </c>
      <c r="F34" s="38">
        <f>контингент!G34-Byudjet!F34</f>
        <v>0</v>
      </c>
      <c r="G34" s="38">
        <f>контингент!I34-Byudjet!G34</f>
        <v>52</v>
      </c>
      <c r="H34" s="38">
        <f>контингент!J34-Byudjet!H34</f>
        <v>18</v>
      </c>
      <c r="I34" s="38">
        <f>контингент!K34-Byudjet!I34</f>
        <v>0</v>
      </c>
      <c r="J34" s="38">
        <f>контингент!L34-Byudjet!J34</f>
        <v>0</v>
      </c>
      <c r="K34" s="38">
        <f>контингент!N34-Byudjet!K34</f>
        <v>18</v>
      </c>
      <c r="L34" s="38">
        <f>контингент!O34-Byudjet!L34</f>
        <v>0</v>
      </c>
      <c r="M34" s="38">
        <f>контингент!P34-Byudjet!M34</f>
        <v>0</v>
      </c>
      <c r="N34" s="38">
        <f>контингент!Q34-Byudjet!N34</f>
        <v>0</v>
      </c>
      <c r="O34" s="38">
        <f>контингент!S34-Byudjet!O34</f>
        <v>0</v>
      </c>
      <c r="P34" s="38">
        <f>контингент!T34-Byudjet!P34</f>
        <v>0</v>
      </c>
      <c r="Q34" s="38">
        <f>контингент!U34-Byudjet!Q34</f>
        <v>0</v>
      </c>
      <c r="R34" s="38">
        <f>контингент!V34-Byudjet!R34</f>
        <v>0</v>
      </c>
      <c r="S34" s="38">
        <f>контингент!X34-Byudjet!S34</f>
        <v>0</v>
      </c>
      <c r="T34" s="38">
        <f>контингент!Y34-Byudjet!T34</f>
        <v>0</v>
      </c>
      <c r="U34" s="38">
        <f>контингент!Z34-Byudjet!U34</f>
        <v>0</v>
      </c>
      <c r="V34" s="38">
        <f>контингент!AA34-Byudjet!V34</f>
        <v>0</v>
      </c>
      <c r="W34" s="38">
        <f>контингент!AC34-Byudjet!W34</f>
        <v>0</v>
      </c>
      <c r="X34" s="38">
        <f>контингент!AD34-Byudjet!X34</f>
        <v>70</v>
      </c>
      <c r="Y34" s="38">
        <f>контингент!AE34-Byudjet!Y34</f>
        <v>0</v>
      </c>
      <c r="Z34" s="38">
        <f>контингент!AF34-Byudjet!Z34</f>
        <v>0</v>
      </c>
      <c r="AA34" s="55">
        <f>контингент!AH34-Byudjet!AA34</f>
        <v>70</v>
      </c>
      <c r="AC34" s="34"/>
    </row>
    <row r="35" spans="1:29" s="33" customFormat="1" ht="19.5" customHeight="1">
      <c r="A35" s="67"/>
      <c r="B35" s="102" t="s">
        <v>70</v>
      </c>
      <c r="C35" s="103"/>
      <c r="D35" s="65">
        <f>+D36+D37+D38+D39</f>
        <v>0</v>
      </c>
      <c r="E35" s="65">
        <f>+E36+E37+E38+E39</f>
        <v>0</v>
      </c>
      <c r="F35" s="65">
        <f aca="true" t="shared" si="20" ref="F35:AA35">+F36+F37+F38+F39</f>
        <v>0</v>
      </c>
      <c r="G35" s="65">
        <f t="shared" si="20"/>
        <v>0</v>
      </c>
      <c r="H35" s="65">
        <f t="shared" si="20"/>
        <v>76</v>
      </c>
      <c r="I35" s="65">
        <f t="shared" si="20"/>
        <v>0</v>
      </c>
      <c r="J35" s="65">
        <f t="shared" si="20"/>
        <v>0</v>
      </c>
      <c r="K35" s="65">
        <f t="shared" si="20"/>
        <v>76</v>
      </c>
      <c r="L35" s="65">
        <f t="shared" si="20"/>
        <v>0</v>
      </c>
      <c r="M35" s="65">
        <f t="shared" si="20"/>
        <v>0</v>
      </c>
      <c r="N35" s="65">
        <f t="shared" si="20"/>
        <v>0</v>
      </c>
      <c r="O35" s="65">
        <f t="shared" si="20"/>
        <v>0</v>
      </c>
      <c r="P35" s="65">
        <f t="shared" si="20"/>
        <v>0</v>
      </c>
      <c r="Q35" s="65">
        <f t="shared" si="20"/>
        <v>0</v>
      </c>
      <c r="R35" s="65">
        <f t="shared" si="20"/>
        <v>0</v>
      </c>
      <c r="S35" s="65">
        <f t="shared" si="20"/>
        <v>0</v>
      </c>
      <c r="T35" s="65">
        <f t="shared" si="20"/>
        <v>0</v>
      </c>
      <c r="U35" s="65">
        <f t="shared" si="20"/>
        <v>0</v>
      </c>
      <c r="V35" s="65">
        <f t="shared" si="20"/>
        <v>0</v>
      </c>
      <c r="W35" s="65">
        <f t="shared" si="20"/>
        <v>0</v>
      </c>
      <c r="X35" s="65">
        <f t="shared" si="20"/>
        <v>76</v>
      </c>
      <c r="Y35" s="65">
        <f t="shared" si="20"/>
        <v>0</v>
      </c>
      <c r="Z35" s="65">
        <f t="shared" si="20"/>
        <v>0</v>
      </c>
      <c r="AA35" s="65">
        <f t="shared" si="20"/>
        <v>76</v>
      </c>
      <c r="AC35" s="34"/>
    </row>
    <row r="36" spans="1:29" s="33" customFormat="1" ht="12.75">
      <c r="A36" s="48">
        <v>29</v>
      </c>
      <c r="B36" s="50">
        <v>60811500</v>
      </c>
      <c r="C36" s="51" t="s">
        <v>64</v>
      </c>
      <c r="D36" s="38">
        <f>контингент!E36-Byudjet!D36</f>
        <v>0</v>
      </c>
      <c r="E36" s="38">
        <f>контингент!F36-Byudjet!E36</f>
        <v>0</v>
      </c>
      <c r="F36" s="38">
        <f>контингент!G36-Byudjet!F36</f>
        <v>0</v>
      </c>
      <c r="G36" s="38">
        <f>контингент!I36-Byudjet!G36</f>
        <v>0</v>
      </c>
      <c r="H36" s="38">
        <f>контингент!J36-Byudjet!H36</f>
        <v>22</v>
      </c>
      <c r="I36" s="38">
        <f>контингент!K36-Byudjet!I36</f>
        <v>0</v>
      </c>
      <c r="J36" s="38">
        <f>контингент!L36-Byudjet!J36</f>
        <v>0</v>
      </c>
      <c r="K36" s="38">
        <f>контингент!N36-Byudjet!K36</f>
        <v>22</v>
      </c>
      <c r="L36" s="38">
        <f>контингент!O36-Byudjet!L36</f>
        <v>0</v>
      </c>
      <c r="M36" s="38">
        <f>контингент!P36-Byudjet!M36</f>
        <v>0</v>
      </c>
      <c r="N36" s="38">
        <f>контингент!Q36-Byudjet!N36</f>
        <v>0</v>
      </c>
      <c r="O36" s="38">
        <f>контингент!S36-Byudjet!O36</f>
        <v>0</v>
      </c>
      <c r="P36" s="38">
        <f>контингент!T36-Byudjet!P36</f>
        <v>0</v>
      </c>
      <c r="Q36" s="38">
        <f>контингент!U36-Byudjet!Q36</f>
        <v>0</v>
      </c>
      <c r="R36" s="38">
        <f>контингент!V36-Byudjet!R36</f>
        <v>0</v>
      </c>
      <c r="S36" s="38">
        <f>контингент!X36-Byudjet!S36</f>
        <v>0</v>
      </c>
      <c r="T36" s="38">
        <f>контингент!Y36-Byudjet!T36</f>
        <v>0</v>
      </c>
      <c r="U36" s="38">
        <f>контингент!Z36-Byudjet!U36</f>
        <v>0</v>
      </c>
      <c r="V36" s="38">
        <f>контингент!AA36-Byudjet!V36</f>
        <v>0</v>
      </c>
      <c r="W36" s="38">
        <f>контингент!AC36-Byudjet!W36</f>
        <v>0</v>
      </c>
      <c r="X36" s="38">
        <f>контингент!AD36-Byudjet!X36</f>
        <v>22</v>
      </c>
      <c r="Y36" s="38">
        <f>контингент!AE36-Byudjet!Y36</f>
        <v>0</v>
      </c>
      <c r="Z36" s="38">
        <f>контингент!AF36-Byudjet!Z36</f>
        <v>0</v>
      </c>
      <c r="AA36" s="55">
        <f>контингент!AH36-Byudjet!AA36</f>
        <v>22</v>
      </c>
      <c r="AC36" s="34"/>
    </row>
    <row r="37" spans="1:29" s="33" customFormat="1" ht="12.75">
      <c r="A37" s="48">
        <v>30</v>
      </c>
      <c r="B37" s="50">
        <v>60811800</v>
      </c>
      <c r="C37" s="51" t="s">
        <v>65</v>
      </c>
      <c r="D37" s="38">
        <f>контингент!E37-Byudjet!D37</f>
        <v>0</v>
      </c>
      <c r="E37" s="38">
        <f>контингент!F37-Byudjet!E37</f>
        <v>0</v>
      </c>
      <c r="F37" s="38">
        <f>контингент!G37-Byudjet!F37</f>
        <v>0</v>
      </c>
      <c r="G37" s="38">
        <f>контингент!I37-Byudjet!G37</f>
        <v>0</v>
      </c>
      <c r="H37" s="38">
        <f>контингент!J37-Byudjet!H37</f>
        <v>13</v>
      </c>
      <c r="I37" s="38">
        <f>контингент!K37-Byudjet!I37</f>
        <v>0</v>
      </c>
      <c r="J37" s="38">
        <f>контингент!L37-Byudjet!J37</f>
        <v>0</v>
      </c>
      <c r="K37" s="38">
        <f>контингент!N37-Byudjet!K37</f>
        <v>13</v>
      </c>
      <c r="L37" s="38">
        <f>контингент!O37-Byudjet!L37</f>
        <v>0</v>
      </c>
      <c r="M37" s="38">
        <f>контингент!P37-Byudjet!M37</f>
        <v>0</v>
      </c>
      <c r="N37" s="38">
        <f>контингент!Q37-Byudjet!N37</f>
        <v>0</v>
      </c>
      <c r="O37" s="38">
        <f>контингент!S37-Byudjet!O37</f>
        <v>0</v>
      </c>
      <c r="P37" s="38">
        <f>контингент!T37-Byudjet!P37</f>
        <v>0</v>
      </c>
      <c r="Q37" s="38">
        <f>контингент!U37-Byudjet!Q37</f>
        <v>0</v>
      </c>
      <c r="R37" s="38">
        <f>контингент!V37-Byudjet!R37</f>
        <v>0</v>
      </c>
      <c r="S37" s="38">
        <f>контингент!X37-Byudjet!S37</f>
        <v>0</v>
      </c>
      <c r="T37" s="38">
        <f>контингент!Y37-Byudjet!T37</f>
        <v>0</v>
      </c>
      <c r="U37" s="38">
        <f>контингент!Z37-Byudjet!U37</f>
        <v>0</v>
      </c>
      <c r="V37" s="38">
        <f>контингент!AA37-Byudjet!V37</f>
        <v>0</v>
      </c>
      <c r="W37" s="38">
        <f>контингент!AC37-Byudjet!W37</f>
        <v>0</v>
      </c>
      <c r="X37" s="38">
        <f>контингент!AD37-Byudjet!X37</f>
        <v>13</v>
      </c>
      <c r="Y37" s="38">
        <f>контингент!AE37-Byudjet!Y37</f>
        <v>0</v>
      </c>
      <c r="Z37" s="38">
        <f>контингент!AF37-Byudjet!Z37</f>
        <v>0</v>
      </c>
      <c r="AA37" s="55">
        <f>контингент!AH37-Byudjet!AA37</f>
        <v>13</v>
      </c>
      <c r="AC37" s="34"/>
    </row>
    <row r="38" spans="1:29" s="33" customFormat="1" ht="22.5">
      <c r="A38" s="48">
        <v>31</v>
      </c>
      <c r="B38" s="50">
        <v>60811900</v>
      </c>
      <c r="C38" s="51" t="s">
        <v>66</v>
      </c>
      <c r="D38" s="38">
        <f>контингент!E38-Byudjet!D38</f>
        <v>0</v>
      </c>
      <c r="E38" s="38">
        <f>контингент!F38-Byudjet!E38</f>
        <v>0</v>
      </c>
      <c r="F38" s="38">
        <f>контингент!G38-Byudjet!F38</f>
        <v>0</v>
      </c>
      <c r="G38" s="38">
        <f>контингент!I38-Byudjet!G38</f>
        <v>0</v>
      </c>
      <c r="H38" s="38">
        <f>контингент!J38-Byudjet!H38</f>
        <v>19</v>
      </c>
      <c r="I38" s="38">
        <f>контингент!K38-Byudjet!I38</f>
        <v>0</v>
      </c>
      <c r="J38" s="38">
        <f>контингент!L38-Byudjet!J38</f>
        <v>0</v>
      </c>
      <c r="K38" s="38">
        <f>контингент!N38-Byudjet!K38</f>
        <v>19</v>
      </c>
      <c r="L38" s="38">
        <f>контингент!O38-Byudjet!L38</f>
        <v>0</v>
      </c>
      <c r="M38" s="38">
        <f>контингент!P38-Byudjet!M38</f>
        <v>0</v>
      </c>
      <c r="N38" s="38">
        <f>контингент!Q38-Byudjet!N38</f>
        <v>0</v>
      </c>
      <c r="O38" s="38">
        <f>контингент!S38-Byudjet!O38</f>
        <v>0</v>
      </c>
      <c r="P38" s="38">
        <f>контингент!T38-Byudjet!P38</f>
        <v>0</v>
      </c>
      <c r="Q38" s="38">
        <f>контингент!U38-Byudjet!Q38</f>
        <v>0</v>
      </c>
      <c r="R38" s="38">
        <f>контингент!V38-Byudjet!R38</f>
        <v>0</v>
      </c>
      <c r="S38" s="38">
        <f>контингент!X38-Byudjet!S38</f>
        <v>0</v>
      </c>
      <c r="T38" s="38">
        <f>контингент!Y38-Byudjet!T38</f>
        <v>0</v>
      </c>
      <c r="U38" s="38">
        <f>контингент!Z38-Byudjet!U38</f>
        <v>0</v>
      </c>
      <c r="V38" s="38">
        <f>контингент!AA38-Byudjet!V38</f>
        <v>0</v>
      </c>
      <c r="W38" s="38">
        <f>контингент!AC38-Byudjet!W38</f>
        <v>0</v>
      </c>
      <c r="X38" s="38">
        <f>контингент!AD38-Byudjet!X38</f>
        <v>19</v>
      </c>
      <c r="Y38" s="38">
        <f>контингент!AE38-Byudjet!Y38</f>
        <v>0</v>
      </c>
      <c r="Z38" s="38">
        <f>контингент!AF38-Byudjet!Z38</f>
        <v>0</v>
      </c>
      <c r="AA38" s="55">
        <f>контингент!AH38-Byudjet!AA38</f>
        <v>19</v>
      </c>
      <c r="AC38" s="34"/>
    </row>
    <row r="39" spans="1:29" s="33" customFormat="1" ht="22.5">
      <c r="A39" s="48">
        <v>32</v>
      </c>
      <c r="B39" s="50">
        <v>60812000</v>
      </c>
      <c r="C39" s="51" t="s">
        <v>67</v>
      </c>
      <c r="D39" s="38">
        <f>контингент!E39-Byudjet!D39</f>
        <v>0</v>
      </c>
      <c r="E39" s="38">
        <f>контингент!F39-Byudjet!E39</f>
        <v>0</v>
      </c>
      <c r="F39" s="38">
        <f>контингент!G39-Byudjet!F39</f>
        <v>0</v>
      </c>
      <c r="G39" s="38">
        <f>контингент!I39-Byudjet!G39</f>
        <v>0</v>
      </c>
      <c r="H39" s="38">
        <f>контингент!J39-Byudjet!H39</f>
        <v>22</v>
      </c>
      <c r="I39" s="38">
        <f>контингент!K39-Byudjet!I39</f>
        <v>0</v>
      </c>
      <c r="J39" s="38">
        <f>контингент!L39-Byudjet!J39</f>
        <v>0</v>
      </c>
      <c r="K39" s="38">
        <f>контингент!N39-Byudjet!K39</f>
        <v>22</v>
      </c>
      <c r="L39" s="38">
        <f>контингент!O39-Byudjet!L39</f>
        <v>0</v>
      </c>
      <c r="M39" s="38">
        <f>контингент!P39-Byudjet!M39</f>
        <v>0</v>
      </c>
      <c r="N39" s="38">
        <f>контингент!Q39-Byudjet!N39</f>
        <v>0</v>
      </c>
      <c r="O39" s="38">
        <f>контингент!S39-Byudjet!O39</f>
        <v>0</v>
      </c>
      <c r="P39" s="38">
        <f>контингент!T39-Byudjet!P39</f>
        <v>0</v>
      </c>
      <c r="Q39" s="38">
        <f>контингент!U39-Byudjet!Q39</f>
        <v>0</v>
      </c>
      <c r="R39" s="38">
        <f>контингент!V39-Byudjet!R39</f>
        <v>0</v>
      </c>
      <c r="S39" s="38">
        <f>контингент!X39-Byudjet!S39</f>
        <v>0</v>
      </c>
      <c r="T39" s="38">
        <f>контингент!Y39-Byudjet!T39</f>
        <v>0</v>
      </c>
      <c r="U39" s="38">
        <f>контингент!Z39-Byudjet!U39</f>
        <v>0</v>
      </c>
      <c r="V39" s="38">
        <f>контингент!AA39-Byudjet!V39</f>
        <v>0</v>
      </c>
      <c r="W39" s="38">
        <f>контингент!AC39-Byudjet!W39</f>
        <v>0</v>
      </c>
      <c r="X39" s="38">
        <f>контингент!AD39-Byudjet!X39</f>
        <v>22</v>
      </c>
      <c r="Y39" s="38">
        <f>контингент!AE39-Byudjet!Y39</f>
        <v>0</v>
      </c>
      <c r="Z39" s="38">
        <f>контингент!AF39-Byudjet!Z39</f>
        <v>0</v>
      </c>
      <c r="AA39" s="55">
        <f>контингент!AH39-Byudjet!AA39</f>
        <v>22</v>
      </c>
      <c r="AC39" s="34"/>
    </row>
    <row r="40" spans="1:27" ht="12.75">
      <c r="A40" s="69"/>
      <c r="B40" s="70"/>
      <c r="C40" s="69" t="s">
        <v>5</v>
      </c>
      <c r="D40" s="71">
        <f>+D35+D6</f>
        <v>337</v>
      </c>
      <c r="E40" s="71">
        <f aca="true" t="shared" si="21" ref="E40:AA40">+E35+E6</f>
        <v>0</v>
      </c>
      <c r="F40" s="71">
        <f t="shared" si="21"/>
        <v>0</v>
      </c>
      <c r="G40" s="71">
        <f t="shared" si="21"/>
        <v>337</v>
      </c>
      <c r="H40" s="71">
        <f t="shared" si="21"/>
        <v>289</v>
      </c>
      <c r="I40" s="71">
        <f t="shared" si="21"/>
        <v>36</v>
      </c>
      <c r="J40" s="71">
        <f t="shared" si="21"/>
        <v>16</v>
      </c>
      <c r="K40" s="71">
        <f t="shared" si="21"/>
        <v>341</v>
      </c>
      <c r="L40" s="71">
        <f t="shared" si="21"/>
        <v>488</v>
      </c>
      <c r="M40" s="71">
        <f t="shared" si="21"/>
        <v>0</v>
      </c>
      <c r="N40" s="71">
        <f t="shared" si="21"/>
        <v>0</v>
      </c>
      <c r="O40" s="71">
        <f t="shared" si="21"/>
        <v>488</v>
      </c>
      <c r="P40" s="71">
        <f t="shared" si="21"/>
        <v>3973</v>
      </c>
      <c r="Q40" s="71">
        <f t="shared" si="21"/>
        <v>112</v>
      </c>
      <c r="R40" s="71">
        <f t="shared" si="21"/>
        <v>0</v>
      </c>
      <c r="S40" s="71">
        <f t="shared" si="21"/>
        <v>4085</v>
      </c>
      <c r="T40" s="71">
        <f t="shared" si="21"/>
        <v>1833</v>
      </c>
      <c r="U40" s="71">
        <f t="shared" si="21"/>
        <v>54</v>
      </c>
      <c r="V40" s="71">
        <f t="shared" si="21"/>
        <v>0</v>
      </c>
      <c r="W40" s="71">
        <f t="shared" si="21"/>
        <v>1887</v>
      </c>
      <c r="X40" s="71">
        <f t="shared" si="21"/>
        <v>6920</v>
      </c>
      <c r="Y40" s="71">
        <f t="shared" si="21"/>
        <v>202</v>
      </c>
      <c r="Z40" s="71">
        <f t="shared" si="21"/>
        <v>16</v>
      </c>
      <c r="AA40" s="71">
        <f t="shared" si="21"/>
        <v>7138</v>
      </c>
    </row>
    <row r="42" spans="3:8" ht="12.75">
      <c r="C42" s="28" t="s">
        <v>15</v>
      </c>
      <c r="D42" s="27">
        <f>AA9+AA11+AA12+AA13+AA14+AA15+AA17+AA16</f>
        <v>2737</v>
      </c>
      <c r="H42" s="37"/>
    </row>
    <row r="43" spans="3:8" ht="22.5">
      <c r="C43" s="29" t="s">
        <v>16</v>
      </c>
      <c r="D43" s="27"/>
      <c r="H43" s="37"/>
    </row>
    <row r="44" spans="3:8" ht="12.75">
      <c r="C44" s="29" t="s">
        <v>17</v>
      </c>
      <c r="D44" s="27"/>
      <c r="H44" s="37"/>
    </row>
    <row r="45" spans="3:8" ht="12.75">
      <c r="C45" s="29" t="s">
        <v>18</v>
      </c>
      <c r="D45" s="27"/>
      <c r="H45" s="37"/>
    </row>
    <row r="46" spans="3:8" ht="22.5">
      <c r="C46" s="30" t="s">
        <v>19</v>
      </c>
      <c r="D46" s="27">
        <f>AA7+AA10+AA8</f>
        <v>469</v>
      </c>
      <c r="H46" s="37"/>
    </row>
    <row r="47" spans="3:8" ht="22.5">
      <c r="C47" s="28" t="s">
        <v>20</v>
      </c>
      <c r="D47" s="27"/>
      <c r="H47" s="37"/>
    </row>
    <row r="48" spans="3:8" ht="12.75">
      <c r="C48" s="28"/>
      <c r="D48" s="27"/>
      <c r="H48" s="37"/>
    </row>
    <row r="49" spans="3:4" ht="12.75">
      <c r="C49" s="57" t="s">
        <v>31</v>
      </c>
      <c r="D49" s="60">
        <f>+AA12+AA31+AA32+AA13</f>
        <v>663</v>
      </c>
    </row>
    <row r="50" spans="3:4" ht="22.5">
      <c r="C50" s="58" t="s">
        <v>47</v>
      </c>
      <c r="D50" s="60">
        <f>+AA9+AA11+AA14+AA16+AA18+AA19+AA22+AA23+AA25+AA26</f>
        <v>4151</v>
      </c>
    </row>
    <row r="51" spans="3:4" ht="12.75">
      <c r="C51" s="57" t="s">
        <v>42</v>
      </c>
      <c r="D51" s="60">
        <f>+AA8+AA20</f>
        <v>573</v>
      </c>
    </row>
    <row r="52" spans="3:4" ht="12.75">
      <c r="C52" s="61" t="s">
        <v>33</v>
      </c>
      <c r="D52" s="60">
        <f>+AA29</f>
        <v>27</v>
      </c>
    </row>
    <row r="53" spans="3:4" ht="12.75">
      <c r="C53" s="57" t="s">
        <v>43</v>
      </c>
      <c r="D53" s="60">
        <f>+AA7+AA10+AA28+AA33</f>
        <v>489</v>
      </c>
    </row>
    <row r="54" spans="3:4" ht="12.75">
      <c r="C54" s="57" t="s">
        <v>32</v>
      </c>
      <c r="D54" s="60">
        <f>+AA17</f>
        <v>217</v>
      </c>
    </row>
    <row r="55" spans="3:4" ht="12.75">
      <c r="C55" s="57" t="s">
        <v>44</v>
      </c>
      <c r="D55" s="60">
        <f>+AA24+AA21</f>
        <v>177</v>
      </c>
    </row>
    <row r="56" spans="3:4" ht="12.75">
      <c r="C56" s="57" t="s">
        <v>57</v>
      </c>
      <c r="D56" s="60">
        <f>+AA30</f>
        <v>450</v>
      </c>
    </row>
    <row r="57" spans="3:4" ht="12.75">
      <c r="C57" s="57" t="s">
        <v>45</v>
      </c>
      <c r="D57" s="60">
        <f>+AA27+AA34+AA15</f>
        <v>315</v>
      </c>
    </row>
    <row r="58" spans="3:4" ht="12.75">
      <c r="C58" s="59" t="s">
        <v>46</v>
      </c>
      <c r="D58" s="60"/>
    </row>
    <row r="59" spans="3:4" ht="13.5">
      <c r="C59" s="63" t="s">
        <v>68</v>
      </c>
      <c r="D59" s="60">
        <f>+AA36+AA37+AA38+AA39</f>
        <v>76</v>
      </c>
    </row>
  </sheetData>
  <sheetProtection/>
  <mergeCells count="7">
    <mergeCell ref="B35:C35"/>
    <mergeCell ref="B6:C6"/>
    <mergeCell ref="A1:AA1"/>
    <mergeCell ref="A2:AA2"/>
    <mergeCell ref="C3:C4"/>
    <mergeCell ref="A5:AA5"/>
    <mergeCell ref="B3:B4"/>
  </mergeCells>
  <printOptions/>
  <pageMargins left="0.8267716535433072" right="0.6692913385826772" top="0.5118110236220472" bottom="0.2755905511811024" header="0.5118110236220472" footer="0.2755905511811024"/>
  <pageSetup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0"/>
  <sheetViews>
    <sheetView zoomScale="130" zoomScaleNormal="130" zoomScalePageLayoutView="0" workbookViewId="0" topLeftCell="A1">
      <selection activeCell="B7" sqref="B7:C34"/>
    </sheetView>
  </sheetViews>
  <sheetFormatPr defaultColWidth="9.00390625" defaultRowHeight="12.75"/>
  <cols>
    <col min="1" max="1" width="3.00390625" style="0" customWidth="1"/>
    <col min="2" max="2" width="14.75390625" style="0" customWidth="1"/>
    <col min="3" max="3" width="40.25390625" style="0" bestFit="1" customWidth="1"/>
    <col min="4" max="4" width="5.75390625" style="0" customWidth="1"/>
    <col min="5" max="5" width="3.375" style="0" customWidth="1"/>
    <col min="6" max="6" width="4.00390625" style="0" customWidth="1"/>
    <col min="7" max="7" width="5.625" style="0" customWidth="1"/>
    <col min="8" max="8" width="4.875" style="0" customWidth="1"/>
    <col min="9" max="10" width="3.875" style="0" customWidth="1"/>
    <col min="11" max="11" width="5.25390625" style="0" customWidth="1"/>
    <col min="12" max="12" width="5.375" style="0" customWidth="1"/>
    <col min="13" max="14" width="3.75390625" style="0" customWidth="1"/>
    <col min="15" max="15" width="5.625" style="0" customWidth="1"/>
    <col min="16" max="16" width="6.125" style="0" customWidth="1"/>
    <col min="17" max="18" width="3.75390625" style="0" customWidth="1"/>
    <col min="19" max="19" width="5.625" style="0" customWidth="1"/>
    <col min="20" max="20" width="3.875" style="0" customWidth="1"/>
    <col min="21" max="22" width="3.75390625" style="0" customWidth="1"/>
    <col min="23" max="23" width="5.625" style="0" customWidth="1"/>
    <col min="24" max="24" width="5.75390625" style="0" customWidth="1"/>
    <col min="25" max="25" width="4.125" style="0" customWidth="1"/>
    <col min="26" max="26" width="4.25390625" style="0" customWidth="1"/>
    <col min="27" max="27" width="6.00390625" style="0" customWidth="1"/>
    <col min="28" max="28" width="18.75390625" style="0" bestFit="1" customWidth="1"/>
    <col min="29" max="29" width="9.125" style="1" customWidth="1"/>
  </cols>
  <sheetData>
    <row r="1" spans="1:27" ht="15.75">
      <c r="A1" s="112" t="s">
        <v>14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</row>
    <row r="2" spans="1:27" ht="15.75">
      <c r="A2" s="106" t="str">
        <f>контингент!A2</f>
        <v>01.11.2023 йил холати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</row>
    <row r="3" spans="1:29" s="7" customFormat="1" ht="12.75">
      <c r="A3" s="2"/>
      <c r="B3" s="115" t="s">
        <v>41</v>
      </c>
      <c r="C3" s="113" t="s">
        <v>0</v>
      </c>
      <c r="D3" s="2"/>
      <c r="E3" s="3" t="s">
        <v>25</v>
      </c>
      <c r="F3" s="4"/>
      <c r="G3" s="5"/>
      <c r="H3" s="2"/>
      <c r="I3" s="3" t="s">
        <v>9</v>
      </c>
      <c r="J3" s="4"/>
      <c r="K3" s="5"/>
      <c r="L3" s="2"/>
      <c r="M3" s="3" t="s">
        <v>10</v>
      </c>
      <c r="N3" s="4"/>
      <c r="O3" s="5"/>
      <c r="P3" s="2"/>
      <c r="Q3" s="3" t="s">
        <v>1</v>
      </c>
      <c r="R3" s="4"/>
      <c r="S3" s="5"/>
      <c r="T3" s="2"/>
      <c r="U3" s="3" t="s">
        <v>59</v>
      </c>
      <c r="V3" s="4"/>
      <c r="W3" s="5"/>
      <c r="X3" s="2"/>
      <c r="Y3" s="3" t="s">
        <v>5</v>
      </c>
      <c r="Z3" s="4"/>
      <c r="AA3" s="6"/>
      <c r="AC3" s="9"/>
    </row>
    <row r="4" spans="1:29" s="7" customFormat="1" ht="12.75">
      <c r="A4" s="8"/>
      <c r="B4" s="116"/>
      <c r="C4" s="114"/>
      <c r="D4" s="6" t="s">
        <v>2</v>
      </c>
      <c r="E4" s="6" t="s">
        <v>6</v>
      </c>
      <c r="F4" s="6" t="s">
        <v>4</v>
      </c>
      <c r="G4" s="6" t="s">
        <v>5</v>
      </c>
      <c r="H4" s="6" t="s">
        <v>8</v>
      </c>
      <c r="I4" s="6" t="s">
        <v>6</v>
      </c>
      <c r="J4" s="6" t="s">
        <v>7</v>
      </c>
      <c r="K4" s="6" t="s">
        <v>5</v>
      </c>
      <c r="L4" s="6" t="s">
        <v>2</v>
      </c>
      <c r="M4" s="6" t="s">
        <v>6</v>
      </c>
      <c r="N4" s="6" t="s">
        <v>7</v>
      </c>
      <c r="O4" s="6" t="s">
        <v>5</v>
      </c>
      <c r="P4" s="6" t="s">
        <v>2</v>
      </c>
      <c r="Q4" s="6" t="s">
        <v>6</v>
      </c>
      <c r="R4" s="6" t="s">
        <v>7</v>
      </c>
      <c r="S4" s="6" t="s">
        <v>5</v>
      </c>
      <c r="T4" s="6" t="s">
        <v>2</v>
      </c>
      <c r="U4" s="6" t="s">
        <v>6</v>
      </c>
      <c r="V4" s="6" t="s">
        <v>7</v>
      </c>
      <c r="W4" s="6" t="s">
        <v>5</v>
      </c>
      <c r="X4" s="6" t="s">
        <v>2</v>
      </c>
      <c r="Y4" s="6" t="s">
        <v>3</v>
      </c>
      <c r="Z4" s="6" t="s">
        <v>4</v>
      </c>
      <c r="AA4" s="6" t="s">
        <v>5</v>
      </c>
      <c r="AC4" s="9"/>
    </row>
    <row r="5" spans="1:27" ht="12.75">
      <c r="A5" s="109" t="s">
        <v>34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</row>
    <row r="6" spans="1:27" ht="12.75">
      <c r="A6" s="64"/>
      <c r="B6" s="104" t="s">
        <v>69</v>
      </c>
      <c r="C6" s="105"/>
      <c r="D6" s="66">
        <f>+D7+D8+D9+D10+D11+D12+D13+D14+D15+D16+D17+D18+D19+D20+D21+D22+D23+D24+D25+D26+D27+D28+D29+D30+D32+D33+D34+D31</f>
        <v>0</v>
      </c>
      <c r="E6" s="66">
        <f>+E7+E8+E9+E10+E11+E12+E13+E14+E15+E16+E17+E18+E19+E20+E21+E22+E23+E24+E25+E26+E27+E28+E29+E30+E32+E33+E34+E31</f>
        <v>0</v>
      </c>
      <c r="F6" s="66">
        <f aca="true" t="shared" si="0" ref="F6:AA6">+F7+F8+F9+F10+F11+F12+F13+F14+F15+F16+F17+F18+F19+F20+F21+F22+F23+F24+F25+F26+F27+F28+F29+F30+F32+F33+F34+F31</f>
        <v>0</v>
      </c>
      <c r="G6" s="66">
        <f t="shared" si="0"/>
        <v>0</v>
      </c>
      <c r="H6" s="66">
        <f t="shared" si="0"/>
        <v>154</v>
      </c>
      <c r="I6" s="66">
        <f t="shared" si="0"/>
        <v>0</v>
      </c>
      <c r="J6" s="66">
        <f t="shared" si="0"/>
        <v>0</v>
      </c>
      <c r="K6" s="66">
        <f t="shared" si="0"/>
        <v>154</v>
      </c>
      <c r="L6" s="66">
        <f t="shared" si="0"/>
        <v>149</v>
      </c>
      <c r="M6" s="66">
        <f t="shared" si="0"/>
        <v>0</v>
      </c>
      <c r="N6" s="66">
        <f t="shared" si="0"/>
        <v>0</v>
      </c>
      <c r="O6" s="66">
        <f t="shared" si="0"/>
        <v>149</v>
      </c>
      <c r="P6" s="66">
        <f t="shared" si="0"/>
        <v>2624</v>
      </c>
      <c r="Q6" s="66">
        <f t="shared" si="0"/>
        <v>0</v>
      </c>
      <c r="R6" s="66">
        <f t="shared" si="0"/>
        <v>0</v>
      </c>
      <c r="S6" s="66">
        <f t="shared" si="0"/>
        <v>2624</v>
      </c>
      <c r="T6" s="66">
        <f t="shared" si="0"/>
        <v>1417</v>
      </c>
      <c r="U6" s="66">
        <f t="shared" si="0"/>
        <v>0</v>
      </c>
      <c r="V6" s="66">
        <f t="shared" si="0"/>
        <v>0</v>
      </c>
      <c r="W6" s="66">
        <f t="shared" si="0"/>
        <v>1417</v>
      </c>
      <c r="X6" s="66">
        <f t="shared" si="0"/>
        <v>4344</v>
      </c>
      <c r="Y6" s="66">
        <f t="shared" si="0"/>
        <v>0</v>
      </c>
      <c r="Z6" s="66">
        <f t="shared" si="0"/>
        <v>0</v>
      </c>
      <c r="AA6" s="66">
        <f t="shared" si="0"/>
        <v>4344</v>
      </c>
    </row>
    <row r="7" spans="1:29" s="11" customFormat="1" ht="12.75">
      <c r="A7" s="18">
        <v>1</v>
      </c>
      <c r="B7" s="52">
        <v>60230600</v>
      </c>
      <c r="C7" s="51" t="s">
        <v>52</v>
      </c>
      <c r="D7" s="44"/>
      <c r="E7" s="13"/>
      <c r="F7" s="13"/>
      <c r="G7" s="14">
        <f>F7+E7+D7</f>
        <v>0</v>
      </c>
      <c r="H7" s="44">
        <v>9</v>
      </c>
      <c r="I7" s="13"/>
      <c r="J7" s="13"/>
      <c r="K7" s="14">
        <f>H7+I7+J7</f>
        <v>9</v>
      </c>
      <c r="L7" s="16">
        <v>11</v>
      </c>
      <c r="M7" s="13"/>
      <c r="N7" s="13"/>
      <c r="O7" s="14">
        <f aca="true" t="shared" si="1" ref="O7:O16">L7+M7+N7</f>
        <v>11</v>
      </c>
      <c r="P7" s="16">
        <v>32</v>
      </c>
      <c r="Q7" s="13"/>
      <c r="R7" s="13"/>
      <c r="S7" s="14">
        <f aca="true" t="shared" si="2" ref="S7:S16">P7+Q7+R7</f>
        <v>32</v>
      </c>
      <c r="T7" s="16">
        <v>30</v>
      </c>
      <c r="U7" s="13"/>
      <c r="V7" s="13"/>
      <c r="W7" s="14">
        <f aca="true" t="shared" si="3" ref="W7:W16">T7+U7+V7</f>
        <v>30</v>
      </c>
      <c r="X7" s="16">
        <f>D7+H7+L7+P7+T7</f>
        <v>82</v>
      </c>
      <c r="Y7" s="16">
        <f aca="true" t="shared" si="4" ref="Y7:Y30">E7+I7+M7+Q7+U7</f>
        <v>0</v>
      </c>
      <c r="Z7" s="16">
        <f aca="true" t="shared" si="5" ref="Z7:Z30">F7+J7+N7+R7+V7</f>
        <v>0</v>
      </c>
      <c r="AA7" s="15">
        <f>X7+Y7+Z7</f>
        <v>82</v>
      </c>
      <c r="AC7" s="12"/>
    </row>
    <row r="8" spans="1:27" ht="12.75">
      <c r="A8" s="18">
        <v>2</v>
      </c>
      <c r="B8" s="89">
        <v>60530400</v>
      </c>
      <c r="C8" s="89" t="s">
        <v>40</v>
      </c>
      <c r="D8" s="44"/>
      <c r="E8" s="13"/>
      <c r="F8" s="13"/>
      <c r="G8" s="14">
        <f aca="true" t="shared" si="6" ref="G8:G39">F8+E8+D8</f>
        <v>0</v>
      </c>
      <c r="H8" s="44"/>
      <c r="I8" s="13"/>
      <c r="J8" s="13"/>
      <c r="K8" s="14">
        <f aca="true" t="shared" si="7" ref="K8:K39">H8+I8+J8</f>
        <v>0</v>
      </c>
      <c r="L8" s="16"/>
      <c r="M8" s="13"/>
      <c r="N8" s="13"/>
      <c r="O8" s="14">
        <f t="shared" si="1"/>
        <v>0</v>
      </c>
      <c r="P8" s="16"/>
      <c r="Q8" s="13"/>
      <c r="R8" s="13"/>
      <c r="S8" s="14">
        <f t="shared" si="2"/>
        <v>0</v>
      </c>
      <c r="T8" s="16">
        <v>67</v>
      </c>
      <c r="U8" s="13"/>
      <c r="V8" s="13"/>
      <c r="W8" s="14">
        <f t="shared" si="3"/>
        <v>67</v>
      </c>
      <c r="X8" s="16">
        <f aca="true" t="shared" si="8" ref="X8:X30">D8+H8+L8+P8+T8</f>
        <v>67</v>
      </c>
      <c r="Y8" s="16">
        <f t="shared" si="4"/>
        <v>0</v>
      </c>
      <c r="Z8" s="16">
        <f t="shared" si="5"/>
        <v>0</v>
      </c>
      <c r="AA8" s="15">
        <f aca="true" t="shared" si="9" ref="AA8:AA30">X8+Y8+Z8</f>
        <v>67</v>
      </c>
    </row>
    <row r="9" spans="1:27" ht="12.75">
      <c r="A9" s="18">
        <v>3</v>
      </c>
      <c r="B9" s="53">
        <v>60110200</v>
      </c>
      <c r="C9" s="47" t="s">
        <v>28</v>
      </c>
      <c r="D9" s="44"/>
      <c r="E9" s="13"/>
      <c r="F9" s="13"/>
      <c r="G9" s="14">
        <f t="shared" si="6"/>
        <v>0</v>
      </c>
      <c r="H9" s="44"/>
      <c r="I9" s="13"/>
      <c r="J9" s="13"/>
      <c r="K9" s="14">
        <f t="shared" si="7"/>
        <v>0</v>
      </c>
      <c r="L9" s="16"/>
      <c r="M9" s="13"/>
      <c r="N9" s="13"/>
      <c r="O9" s="14">
        <f t="shared" si="1"/>
        <v>0</v>
      </c>
      <c r="P9" s="16">
        <v>379</v>
      </c>
      <c r="Q9" s="13"/>
      <c r="R9" s="13"/>
      <c r="S9" s="14">
        <f t="shared" si="2"/>
        <v>379</v>
      </c>
      <c r="T9" s="16">
        <v>270</v>
      </c>
      <c r="U9" s="13"/>
      <c r="V9" s="13"/>
      <c r="W9" s="14">
        <f t="shared" si="3"/>
        <v>270</v>
      </c>
      <c r="X9" s="16">
        <f t="shared" si="8"/>
        <v>649</v>
      </c>
      <c r="Y9" s="16">
        <f t="shared" si="4"/>
        <v>0</v>
      </c>
      <c r="Z9" s="16">
        <f t="shared" si="5"/>
        <v>0</v>
      </c>
      <c r="AA9" s="15">
        <f t="shared" si="9"/>
        <v>649</v>
      </c>
    </row>
    <row r="10" spans="1:27" ht="12.75">
      <c r="A10" s="18">
        <v>4</v>
      </c>
      <c r="B10" s="54">
        <v>60411400</v>
      </c>
      <c r="C10" s="47" t="s">
        <v>26</v>
      </c>
      <c r="D10" s="44"/>
      <c r="E10" s="13"/>
      <c r="F10" s="13"/>
      <c r="G10" s="14">
        <f t="shared" si="6"/>
        <v>0</v>
      </c>
      <c r="H10" s="44"/>
      <c r="I10" s="13"/>
      <c r="J10" s="13"/>
      <c r="K10" s="14">
        <f t="shared" si="7"/>
        <v>0</v>
      </c>
      <c r="L10" s="16"/>
      <c r="M10" s="13"/>
      <c r="N10" s="13"/>
      <c r="O10" s="14">
        <f t="shared" si="1"/>
        <v>0</v>
      </c>
      <c r="P10" s="16"/>
      <c r="Q10" s="13"/>
      <c r="R10" s="13"/>
      <c r="S10" s="14">
        <f t="shared" si="2"/>
        <v>0</v>
      </c>
      <c r="T10" s="16">
        <v>8</v>
      </c>
      <c r="U10" s="13"/>
      <c r="V10" s="13"/>
      <c r="W10" s="14">
        <f t="shared" si="3"/>
        <v>8</v>
      </c>
      <c r="X10" s="16">
        <f t="shared" si="8"/>
        <v>8</v>
      </c>
      <c r="Y10" s="16">
        <f t="shared" si="4"/>
        <v>0</v>
      </c>
      <c r="Z10" s="16">
        <f t="shared" si="5"/>
        <v>0</v>
      </c>
      <c r="AA10" s="15">
        <f t="shared" si="9"/>
        <v>8</v>
      </c>
    </row>
    <row r="11" spans="1:27" ht="12.75">
      <c r="A11" s="18">
        <v>5</v>
      </c>
      <c r="B11" s="53">
        <v>60111300</v>
      </c>
      <c r="C11" s="49" t="s">
        <v>27</v>
      </c>
      <c r="D11" s="44"/>
      <c r="E11" s="13"/>
      <c r="F11" s="13"/>
      <c r="G11" s="14">
        <f t="shared" si="6"/>
        <v>0</v>
      </c>
      <c r="H11" s="44"/>
      <c r="I11" s="13"/>
      <c r="J11" s="13"/>
      <c r="K11" s="14">
        <f t="shared" si="7"/>
        <v>0</v>
      </c>
      <c r="L11" s="16"/>
      <c r="M11" s="13"/>
      <c r="N11" s="13"/>
      <c r="O11" s="14">
        <f t="shared" si="1"/>
        <v>0</v>
      </c>
      <c r="P11" s="16">
        <v>39</v>
      </c>
      <c r="Q11" s="13"/>
      <c r="R11" s="13"/>
      <c r="S11" s="14">
        <f t="shared" si="2"/>
        <v>39</v>
      </c>
      <c r="T11" s="16">
        <v>47</v>
      </c>
      <c r="U11" s="13"/>
      <c r="V11" s="13"/>
      <c r="W11" s="14">
        <f t="shared" si="3"/>
        <v>47</v>
      </c>
      <c r="X11" s="16">
        <f t="shared" si="8"/>
        <v>86</v>
      </c>
      <c r="Y11" s="16">
        <f t="shared" si="4"/>
        <v>0</v>
      </c>
      <c r="Z11" s="16">
        <f t="shared" si="5"/>
        <v>0</v>
      </c>
      <c r="AA11" s="15">
        <f t="shared" si="9"/>
        <v>86</v>
      </c>
    </row>
    <row r="12" spans="1:27" ht="12.75">
      <c r="A12" s="18">
        <v>6</v>
      </c>
      <c r="B12" s="53">
        <v>60230100</v>
      </c>
      <c r="C12" s="49" t="s">
        <v>21</v>
      </c>
      <c r="D12" s="44"/>
      <c r="E12" s="13"/>
      <c r="F12" s="13"/>
      <c r="G12" s="14">
        <f t="shared" si="6"/>
        <v>0</v>
      </c>
      <c r="H12" s="44">
        <v>34</v>
      </c>
      <c r="I12" s="13"/>
      <c r="J12" s="13"/>
      <c r="K12" s="14">
        <f t="shared" si="7"/>
        <v>34</v>
      </c>
      <c r="L12" s="16"/>
      <c r="M12" s="13"/>
      <c r="N12" s="13"/>
      <c r="O12" s="14">
        <f t="shared" si="1"/>
        <v>0</v>
      </c>
      <c r="P12" s="16">
        <v>249</v>
      </c>
      <c r="Q12" s="13"/>
      <c r="R12" s="13"/>
      <c r="S12" s="14">
        <f t="shared" si="2"/>
        <v>249</v>
      </c>
      <c r="T12" s="16">
        <v>79</v>
      </c>
      <c r="U12" s="13"/>
      <c r="V12" s="13"/>
      <c r="W12" s="14">
        <f t="shared" si="3"/>
        <v>79</v>
      </c>
      <c r="X12" s="16">
        <f t="shared" si="8"/>
        <v>362</v>
      </c>
      <c r="Y12" s="16">
        <f t="shared" si="4"/>
        <v>0</v>
      </c>
      <c r="Z12" s="16">
        <f t="shared" si="5"/>
        <v>0</v>
      </c>
      <c r="AA12" s="15">
        <f t="shared" si="9"/>
        <v>362</v>
      </c>
    </row>
    <row r="13" spans="1:27" ht="12.75">
      <c r="A13" s="18">
        <v>7</v>
      </c>
      <c r="B13" s="53">
        <v>60220300</v>
      </c>
      <c r="C13" s="49" t="s">
        <v>11</v>
      </c>
      <c r="D13" s="44"/>
      <c r="E13" s="13"/>
      <c r="F13" s="13"/>
      <c r="G13" s="14">
        <f t="shared" si="6"/>
        <v>0</v>
      </c>
      <c r="H13" s="44"/>
      <c r="I13" s="13"/>
      <c r="J13" s="13"/>
      <c r="K13" s="14">
        <f t="shared" si="7"/>
        <v>0</v>
      </c>
      <c r="L13" s="16"/>
      <c r="M13" s="13"/>
      <c r="N13" s="13"/>
      <c r="O13" s="14">
        <f t="shared" si="1"/>
        <v>0</v>
      </c>
      <c r="P13" s="16"/>
      <c r="Q13" s="13"/>
      <c r="R13" s="13"/>
      <c r="S13" s="14">
        <f t="shared" si="2"/>
        <v>0</v>
      </c>
      <c r="T13" s="16">
        <v>37</v>
      </c>
      <c r="U13" s="13"/>
      <c r="V13" s="13"/>
      <c r="W13" s="14">
        <f t="shared" si="3"/>
        <v>37</v>
      </c>
      <c r="X13" s="16">
        <f t="shared" si="8"/>
        <v>37</v>
      </c>
      <c r="Y13" s="16">
        <f t="shared" si="4"/>
        <v>0</v>
      </c>
      <c r="Z13" s="16">
        <f t="shared" si="5"/>
        <v>0</v>
      </c>
      <c r="AA13" s="15">
        <f t="shared" si="9"/>
        <v>37</v>
      </c>
    </row>
    <row r="14" spans="1:28" ht="12.75">
      <c r="A14" s="18">
        <v>8</v>
      </c>
      <c r="B14" s="53">
        <v>60110500</v>
      </c>
      <c r="C14" s="47" t="s">
        <v>22</v>
      </c>
      <c r="D14" s="44"/>
      <c r="E14" s="13"/>
      <c r="F14" s="13"/>
      <c r="G14" s="14">
        <f t="shared" si="6"/>
        <v>0</v>
      </c>
      <c r="H14" s="44"/>
      <c r="I14" s="13"/>
      <c r="J14" s="13"/>
      <c r="K14" s="14">
        <f t="shared" si="7"/>
        <v>0</v>
      </c>
      <c r="L14" s="16"/>
      <c r="M14" s="13"/>
      <c r="N14" s="13"/>
      <c r="O14" s="14">
        <f t="shared" si="1"/>
        <v>0</v>
      </c>
      <c r="P14" s="16"/>
      <c r="Q14" s="13"/>
      <c r="R14" s="13"/>
      <c r="S14" s="14">
        <f t="shared" si="2"/>
        <v>0</v>
      </c>
      <c r="T14" s="16">
        <v>551</v>
      </c>
      <c r="U14" s="13"/>
      <c r="V14" s="13"/>
      <c r="W14" s="14">
        <f t="shared" si="3"/>
        <v>551</v>
      </c>
      <c r="X14" s="16">
        <f t="shared" si="8"/>
        <v>551</v>
      </c>
      <c r="Y14" s="16">
        <f t="shared" si="4"/>
        <v>0</v>
      </c>
      <c r="Z14" s="16">
        <f t="shared" si="5"/>
        <v>0</v>
      </c>
      <c r="AA14" s="15">
        <f t="shared" si="9"/>
        <v>551</v>
      </c>
      <c r="AB14" s="10"/>
    </row>
    <row r="15" spans="1:28" ht="12.75">
      <c r="A15" s="18">
        <v>9</v>
      </c>
      <c r="B15" s="53">
        <v>60110600</v>
      </c>
      <c r="C15" s="49" t="s">
        <v>23</v>
      </c>
      <c r="D15" s="44"/>
      <c r="E15" s="13"/>
      <c r="F15" s="13"/>
      <c r="G15" s="14">
        <f t="shared" si="6"/>
        <v>0</v>
      </c>
      <c r="H15" s="44"/>
      <c r="I15" s="13"/>
      <c r="J15" s="13"/>
      <c r="K15" s="14">
        <f t="shared" si="7"/>
        <v>0</v>
      </c>
      <c r="L15" s="16"/>
      <c r="M15" s="13"/>
      <c r="N15" s="13"/>
      <c r="O15" s="14">
        <f t="shared" si="1"/>
        <v>0</v>
      </c>
      <c r="P15" s="16"/>
      <c r="Q15" s="13"/>
      <c r="R15" s="13"/>
      <c r="S15" s="14">
        <f t="shared" si="2"/>
        <v>0</v>
      </c>
      <c r="T15" s="16">
        <v>28</v>
      </c>
      <c r="U15" s="13"/>
      <c r="V15" s="13"/>
      <c r="W15" s="14">
        <f t="shared" si="3"/>
        <v>28</v>
      </c>
      <c r="X15" s="16">
        <f t="shared" si="8"/>
        <v>28</v>
      </c>
      <c r="Y15" s="16">
        <f t="shared" si="4"/>
        <v>0</v>
      </c>
      <c r="Z15" s="16">
        <f t="shared" si="5"/>
        <v>0</v>
      </c>
      <c r="AA15" s="15">
        <f t="shared" si="9"/>
        <v>28</v>
      </c>
      <c r="AB15" s="10"/>
    </row>
    <row r="16" spans="1:27" ht="12.75">
      <c r="A16" s="18">
        <v>10</v>
      </c>
      <c r="B16" s="53">
        <v>60112200</v>
      </c>
      <c r="C16" s="49" t="s">
        <v>13</v>
      </c>
      <c r="D16" s="44"/>
      <c r="E16" s="13"/>
      <c r="F16" s="13"/>
      <c r="G16" s="14">
        <f t="shared" si="6"/>
        <v>0</v>
      </c>
      <c r="H16" s="44"/>
      <c r="I16" s="13"/>
      <c r="J16" s="13"/>
      <c r="K16" s="14">
        <f t="shared" si="7"/>
        <v>0</v>
      </c>
      <c r="L16" s="16"/>
      <c r="M16" s="13"/>
      <c r="N16" s="13"/>
      <c r="O16" s="14">
        <f t="shared" si="1"/>
        <v>0</v>
      </c>
      <c r="P16" s="16">
        <v>14</v>
      </c>
      <c r="Q16" s="13"/>
      <c r="R16" s="13"/>
      <c r="S16" s="14">
        <f t="shared" si="2"/>
        <v>14</v>
      </c>
      <c r="T16" s="16">
        <v>49</v>
      </c>
      <c r="U16" s="13"/>
      <c r="V16" s="13"/>
      <c r="W16" s="14">
        <f t="shared" si="3"/>
        <v>49</v>
      </c>
      <c r="X16" s="16">
        <f t="shared" si="8"/>
        <v>63</v>
      </c>
      <c r="Y16" s="16">
        <f t="shared" si="4"/>
        <v>0</v>
      </c>
      <c r="Z16" s="16">
        <f t="shared" si="5"/>
        <v>0</v>
      </c>
      <c r="AA16" s="15">
        <f t="shared" si="9"/>
        <v>63</v>
      </c>
    </row>
    <row r="17" spans="1:27" ht="12.75">
      <c r="A17" s="18">
        <v>11</v>
      </c>
      <c r="B17" s="53">
        <v>60510100</v>
      </c>
      <c r="C17" s="49" t="s">
        <v>24</v>
      </c>
      <c r="D17" s="44"/>
      <c r="E17" s="16"/>
      <c r="F17" s="16"/>
      <c r="G17" s="14">
        <f t="shared" si="6"/>
        <v>0</v>
      </c>
      <c r="H17" s="44"/>
      <c r="I17" s="16"/>
      <c r="J17" s="16"/>
      <c r="K17" s="14">
        <f t="shared" si="7"/>
        <v>0</v>
      </c>
      <c r="L17" s="16"/>
      <c r="M17" s="16"/>
      <c r="N17" s="16"/>
      <c r="O17" s="17">
        <f>L17+M17+N17</f>
        <v>0</v>
      </c>
      <c r="P17" s="16"/>
      <c r="Q17" s="16"/>
      <c r="R17" s="16"/>
      <c r="S17" s="17">
        <f>P17+Q17+R17</f>
        <v>0</v>
      </c>
      <c r="T17" s="16">
        <v>114</v>
      </c>
      <c r="U17" s="16"/>
      <c r="V17" s="16"/>
      <c r="W17" s="17">
        <f>T17+U17+V17</f>
        <v>114</v>
      </c>
      <c r="X17" s="16">
        <f t="shared" si="8"/>
        <v>114</v>
      </c>
      <c r="Y17" s="16">
        <f t="shared" si="4"/>
        <v>0</v>
      </c>
      <c r="Z17" s="16">
        <f t="shared" si="5"/>
        <v>0</v>
      </c>
      <c r="AA17" s="15">
        <f t="shared" si="9"/>
        <v>114</v>
      </c>
    </row>
    <row r="18" spans="1:27" ht="12.75">
      <c r="A18" s="18">
        <v>12</v>
      </c>
      <c r="B18" s="53">
        <v>60111200</v>
      </c>
      <c r="C18" s="49" t="s">
        <v>35</v>
      </c>
      <c r="D18" s="44"/>
      <c r="E18" s="16"/>
      <c r="F18" s="16"/>
      <c r="G18" s="14">
        <f t="shared" si="6"/>
        <v>0</v>
      </c>
      <c r="H18" s="44"/>
      <c r="I18" s="16"/>
      <c r="J18" s="16"/>
      <c r="K18" s="14">
        <f t="shared" si="7"/>
        <v>0</v>
      </c>
      <c r="L18" s="16"/>
      <c r="M18" s="16"/>
      <c r="N18" s="16"/>
      <c r="O18" s="17">
        <f>L18+M18+N18</f>
        <v>0</v>
      </c>
      <c r="P18" s="16">
        <v>42</v>
      </c>
      <c r="Q18" s="16"/>
      <c r="R18" s="16"/>
      <c r="S18" s="17">
        <f>P18+Q18+R18</f>
        <v>42</v>
      </c>
      <c r="T18" s="16">
        <v>62</v>
      </c>
      <c r="U18" s="16"/>
      <c r="V18" s="16"/>
      <c r="W18" s="17">
        <f>T18+U18+V18</f>
        <v>62</v>
      </c>
      <c r="X18" s="16">
        <f t="shared" si="8"/>
        <v>104</v>
      </c>
      <c r="Y18" s="16">
        <f t="shared" si="4"/>
        <v>0</v>
      </c>
      <c r="Z18" s="16">
        <f t="shared" si="5"/>
        <v>0</v>
      </c>
      <c r="AA18" s="15">
        <f t="shared" si="9"/>
        <v>104</v>
      </c>
    </row>
    <row r="19" spans="1:27" ht="12.75">
      <c r="A19" s="18">
        <v>13</v>
      </c>
      <c r="B19" s="53">
        <v>60112300</v>
      </c>
      <c r="C19" s="49" t="s">
        <v>36</v>
      </c>
      <c r="D19" s="44"/>
      <c r="E19" s="16"/>
      <c r="F19" s="16"/>
      <c r="G19" s="14">
        <f t="shared" si="6"/>
        <v>0</v>
      </c>
      <c r="H19" s="44"/>
      <c r="I19" s="16"/>
      <c r="J19" s="16"/>
      <c r="K19" s="14">
        <f t="shared" si="7"/>
        <v>0</v>
      </c>
      <c r="L19" s="16"/>
      <c r="M19" s="16"/>
      <c r="N19" s="16"/>
      <c r="O19" s="17">
        <f>L19+M19+N19</f>
        <v>0</v>
      </c>
      <c r="P19" s="16">
        <v>57</v>
      </c>
      <c r="Q19" s="16"/>
      <c r="R19" s="16"/>
      <c r="S19" s="17">
        <f>P19+Q19+R19</f>
        <v>57</v>
      </c>
      <c r="T19" s="16">
        <v>56</v>
      </c>
      <c r="U19" s="16"/>
      <c r="V19" s="16"/>
      <c r="W19" s="17">
        <f>T19+U19+V19</f>
        <v>56</v>
      </c>
      <c r="X19" s="16">
        <f t="shared" si="8"/>
        <v>113</v>
      </c>
      <c r="Y19" s="16">
        <f t="shared" si="4"/>
        <v>0</v>
      </c>
      <c r="Z19" s="16">
        <f t="shared" si="5"/>
        <v>0</v>
      </c>
      <c r="AA19" s="15">
        <f t="shared" si="9"/>
        <v>113</v>
      </c>
    </row>
    <row r="20" spans="1:27" ht="12.75">
      <c r="A20" s="18">
        <v>14</v>
      </c>
      <c r="B20" s="53">
        <v>60310900</v>
      </c>
      <c r="C20" s="49" t="s">
        <v>37</v>
      </c>
      <c r="D20" s="44"/>
      <c r="E20" s="16"/>
      <c r="F20" s="16"/>
      <c r="G20" s="14">
        <f t="shared" si="6"/>
        <v>0</v>
      </c>
      <c r="H20" s="44"/>
      <c r="I20" s="16"/>
      <c r="J20" s="16"/>
      <c r="K20" s="14">
        <f t="shared" si="7"/>
        <v>0</v>
      </c>
      <c r="L20" s="16">
        <v>110</v>
      </c>
      <c r="M20" s="16"/>
      <c r="N20" s="16"/>
      <c r="O20" s="17">
        <f>L20+M20+N20</f>
        <v>110</v>
      </c>
      <c r="P20" s="16">
        <v>136</v>
      </c>
      <c r="Q20" s="16"/>
      <c r="R20" s="16"/>
      <c r="S20" s="17">
        <f>P20+Q20+R20</f>
        <v>136</v>
      </c>
      <c r="T20" s="16"/>
      <c r="U20" s="16"/>
      <c r="V20" s="16"/>
      <c r="W20" s="17">
        <f>T20+U20+V20</f>
        <v>0</v>
      </c>
      <c r="X20" s="16">
        <f t="shared" si="8"/>
        <v>246</v>
      </c>
      <c r="Y20" s="16">
        <f t="shared" si="4"/>
        <v>0</v>
      </c>
      <c r="Z20" s="16">
        <f t="shared" si="5"/>
        <v>0</v>
      </c>
      <c r="AA20" s="15">
        <f t="shared" si="9"/>
        <v>246</v>
      </c>
    </row>
    <row r="21" spans="1:27" ht="12.75">
      <c r="A21" s="18">
        <v>15</v>
      </c>
      <c r="B21" s="53">
        <v>60530400</v>
      </c>
      <c r="C21" s="49" t="s">
        <v>40</v>
      </c>
      <c r="D21" s="44"/>
      <c r="E21" s="16"/>
      <c r="F21" s="16"/>
      <c r="G21" s="14">
        <f t="shared" si="6"/>
        <v>0</v>
      </c>
      <c r="H21" s="44"/>
      <c r="I21" s="16"/>
      <c r="J21" s="16"/>
      <c r="K21" s="14">
        <f t="shared" si="7"/>
        <v>0</v>
      </c>
      <c r="L21" s="16"/>
      <c r="M21" s="16"/>
      <c r="N21" s="16"/>
      <c r="O21" s="17">
        <f>L21+M21+N21</f>
        <v>0</v>
      </c>
      <c r="P21" s="16"/>
      <c r="Q21" s="16"/>
      <c r="R21" s="16"/>
      <c r="S21" s="17">
        <f>P21+Q21+R21</f>
        <v>0</v>
      </c>
      <c r="T21" s="16">
        <v>19</v>
      </c>
      <c r="U21" s="16"/>
      <c r="V21" s="16"/>
      <c r="W21" s="17">
        <f>T21+U21+V21</f>
        <v>19</v>
      </c>
      <c r="X21" s="16">
        <f t="shared" si="8"/>
        <v>19</v>
      </c>
      <c r="Y21" s="16">
        <f t="shared" si="4"/>
        <v>0</v>
      </c>
      <c r="Z21" s="16">
        <f t="shared" si="5"/>
        <v>0</v>
      </c>
      <c r="AA21" s="15">
        <f t="shared" si="9"/>
        <v>19</v>
      </c>
    </row>
    <row r="22" spans="1:27" ht="12.75">
      <c r="A22" s="48">
        <v>16</v>
      </c>
      <c r="B22" s="52">
        <v>60110600</v>
      </c>
      <c r="C22" s="51" t="s">
        <v>48</v>
      </c>
      <c r="D22" s="44"/>
      <c r="E22" s="16"/>
      <c r="F22" s="16"/>
      <c r="G22" s="14">
        <f t="shared" si="6"/>
        <v>0</v>
      </c>
      <c r="H22" s="44"/>
      <c r="I22" s="16"/>
      <c r="J22" s="16"/>
      <c r="K22" s="14">
        <f t="shared" si="7"/>
        <v>0</v>
      </c>
      <c r="L22" s="16"/>
      <c r="M22" s="16"/>
      <c r="N22" s="16"/>
      <c r="O22" s="17">
        <f aca="true" t="shared" si="10" ref="O22:O27">L22+M22+N22</f>
        <v>0</v>
      </c>
      <c r="P22" s="16">
        <v>63</v>
      </c>
      <c r="Q22" s="16"/>
      <c r="R22" s="16"/>
      <c r="S22" s="17">
        <f aca="true" t="shared" si="11" ref="S22:S29">P22+Q22+R22</f>
        <v>63</v>
      </c>
      <c r="T22" s="16"/>
      <c r="U22" s="16"/>
      <c r="V22" s="16"/>
      <c r="W22" s="17">
        <f aca="true" t="shared" si="12" ref="W22:W29">T22+U22+V22</f>
        <v>0</v>
      </c>
      <c r="X22" s="16">
        <f t="shared" si="8"/>
        <v>63</v>
      </c>
      <c r="Y22" s="16">
        <f t="shared" si="4"/>
        <v>0</v>
      </c>
      <c r="Z22" s="16">
        <f t="shared" si="5"/>
        <v>0</v>
      </c>
      <c r="AA22" s="15">
        <f t="shared" si="9"/>
        <v>63</v>
      </c>
    </row>
    <row r="23" spans="1:27" ht="12.75">
      <c r="A23" s="48">
        <v>17</v>
      </c>
      <c r="B23" s="52">
        <v>60110900</v>
      </c>
      <c r="C23" s="51" t="s">
        <v>12</v>
      </c>
      <c r="D23" s="44"/>
      <c r="E23" s="16"/>
      <c r="F23" s="16"/>
      <c r="G23" s="14">
        <f t="shared" si="6"/>
        <v>0</v>
      </c>
      <c r="H23" s="44"/>
      <c r="I23" s="16"/>
      <c r="J23" s="16"/>
      <c r="K23" s="14">
        <f t="shared" si="7"/>
        <v>0</v>
      </c>
      <c r="L23" s="16"/>
      <c r="M23" s="16"/>
      <c r="N23" s="16"/>
      <c r="O23" s="17">
        <f t="shared" si="10"/>
        <v>0</v>
      </c>
      <c r="P23" s="16">
        <v>208</v>
      </c>
      <c r="Q23" s="16"/>
      <c r="R23" s="16"/>
      <c r="S23" s="17">
        <f t="shared" si="11"/>
        <v>208</v>
      </c>
      <c r="T23" s="16"/>
      <c r="U23" s="16"/>
      <c r="V23" s="16"/>
      <c r="W23" s="17">
        <f t="shared" si="12"/>
        <v>0</v>
      </c>
      <c r="X23" s="16">
        <f t="shared" si="8"/>
        <v>208</v>
      </c>
      <c r="Y23" s="16">
        <f t="shared" si="4"/>
        <v>0</v>
      </c>
      <c r="Z23" s="16">
        <f t="shared" si="5"/>
        <v>0</v>
      </c>
      <c r="AA23" s="15">
        <f t="shared" si="9"/>
        <v>208</v>
      </c>
    </row>
    <row r="24" spans="1:27" ht="12.75">
      <c r="A24" s="48">
        <v>18</v>
      </c>
      <c r="B24" s="52">
        <v>60111000</v>
      </c>
      <c r="C24" s="51" t="s">
        <v>49</v>
      </c>
      <c r="D24" s="44"/>
      <c r="E24" s="16"/>
      <c r="F24" s="16"/>
      <c r="G24" s="14">
        <f t="shared" si="6"/>
        <v>0</v>
      </c>
      <c r="H24" s="44"/>
      <c r="I24" s="16"/>
      <c r="J24" s="16"/>
      <c r="K24" s="14">
        <f t="shared" si="7"/>
        <v>0</v>
      </c>
      <c r="L24" s="16"/>
      <c r="M24" s="16"/>
      <c r="N24" s="16"/>
      <c r="O24" s="17">
        <f t="shared" si="10"/>
        <v>0</v>
      </c>
      <c r="P24" s="16">
        <v>63</v>
      </c>
      <c r="Q24" s="16"/>
      <c r="R24" s="16"/>
      <c r="S24" s="17">
        <f t="shared" si="11"/>
        <v>63</v>
      </c>
      <c r="T24" s="16"/>
      <c r="U24" s="16"/>
      <c r="V24" s="16"/>
      <c r="W24" s="17">
        <f t="shared" si="12"/>
        <v>0</v>
      </c>
      <c r="X24" s="16">
        <f t="shared" si="8"/>
        <v>63</v>
      </c>
      <c r="Y24" s="16">
        <f t="shared" si="4"/>
        <v>0</v>
      </c>
      <c r="Z24" s="16">
        <f t="shared" si="5"/>
        <v>0</v>
      </c>
      <c r="AA24" s="15">
        <f t="shared" si="9"/>
        <v>63</v>
      </c>
    </row>
    <row r="25" spans="1:27" ht="12.75">
      <c r="A25" s="48">
        <v>19</v>
      </c>
      <c r="B25" s="52">
        <v>60111100</v>
      </c>
      <c r="C25" s="51" t="s">
        <v>11</v>
      </c>
      <c r="D25" s="44"/>
      <c r="E25" s="16"/>
      <c r="F25" s="16"/>
      <c r="G25" s="14">
        <f t="shared" si="6"/>
        <v>0</v>
      </c>
      <c r="H25" s="44"/>
      <c r="I25" s="16"/>
      <c r="J25" s="16"/>
      <c r="K25" s="14">
        <f t="shared" si="7"/>
        <v>0</v>
      </c>
      <c r="L25" s="16"/>
      <c r="M25" s="16"/>
      <c r="N25" s="16"/>
      <c r="O25" s="17">
        <f t="shared" si="10"/>
        <v>0</v>
      </c>
      <c r="P25" s="16">
        <v>94</v>
      </c>
      <c r="Q25" s="16"/>
      <c r="R25" s="16"/>
      <c r="S25" s="17">
        <f t="shared" si="11"/>
        <v>94</v>
      </c>
      <c r="T25" s="16"/>
      <c r="U25" s="16"/>
      <c r="V25" s="16"/>
      <c r="W25" s="17">
        <f t="shared" si="12"/>
        <v>0</v>
      </c>
      <c r="X25" s="16">
        <f t="shared" si="8"/>
        <v>94</v>
      </c>
      <c r="Y25" s="16">
        <f t="shared" si="4"/>
        <v>0</v>
      </c>
      <c r="Z25" s="16">
        <f t="shared" si="5"/>
        <v>0</v>
      </c>
      <c r="AA25" s="15">
        <f t="shared" si="9"/>
        <v>94</v>
      </c>
    </row>
    <row r="26" spans="1:27" ht="12.75">
      <c r="A26" s="48">
        <v>20</v>
      </c>
      <c r="B26" s="52">
        <v>60110500</v>
      </c>
      <c r="C26" s="51" t="s">
        <v>50</v>
      </c>
      <c r="D26" s="44"/>
      <c r="E26" s="16"/>
      <c r="F26" s="16"/>
      <c r="G26" s="14">
        <f t="shared" si="6"/>
        <v>0</v>
      </c>
      <c r="H26" s="44"/>
      <c r="I26" s="16"/>
      <c r="J26" s="16"/>
      <c r="K26" s="14">
        <f t="shared" si="7"/>
        <v>0</v>
      </c>
      <c r="L26" s="16"/>
      <c r="M26" s="16"/>
      <c r="N26" s="16"/>
      <c r="O26" s="17">
        <f t="shared" si="10"/>
        <v>0</v>
      </c>
      <c r="P26" s="16">
        <v>1111</v>
      </c>
      <c r="Q26" s="16"/>
      <c r="R26" s="16"/>
      <c r="S26" s="17">
        <f t="shared" si="11"/>
        <v>1111</v>
      </c>
      <c r="T26" s="16"/>
      <c r="U26" s="16"/>
      <c r="V26" s="16"/>
      <c r="W26" s="17">
        <f t="shared" si="12"/>
        <v>0</v>
      </c>
      <c r="X26" s="16">
        <f t="shared" si="8"/>
        <v>1111</v>
      </c>
      <c r="Y26" s="16">
        <f t="shared" si="4"/>
        <v>0</v>
      </c>
      <c r="Z26" s="16">
        <f t="shared" si="5"/>
        <v>0</v>
      </c>
      <c r="AA26" s="15">
        <f t="shared" si="9"/>
        <v>1111</v>
      </c>
    </row>
    <row r="27" spans="1:27" ht="12.75">
      <c r="A27" s="48">
        <v>21</v>
      </c>
      <c r="B27" s="52">
        <v>60540100</v>
      </c>
      <c r="C27" s="51" t="s">
        <v>51</v>
      </c>
      <c r="D27" s="44"/>
      <c r="E27" s="16"/>
      <c r="F27" s="16"/>
      <c r="G27" s="14">
        <f t="shared" si="6"/>
        <v>0</v>
      </c>
      <c r="H27" s="44">
        <v>15</v>
      </c>
      <c r="I27" s="16"/>
      <c r="J27" s="16"/>
      <c r="K27" s="14">
        <f t="shared" si="7"/>
        <v>15</v>
      </c>
      <c r="L27" s="16"/>
      <c r="M27" s="16"/>
      <c r="N27" s="16"/>
      <c r="O27" s="17">
        <f t="shared" si="10"/>
        <v>0</v>
      </c>
      <c r="P27" s="16">
        <v>41</v>
      </c>
      <c r="Q27" s="16"/>
      <c r="R27" s="16"/>
      <c r="S27" s="17">
        <f t="shared" si="11"/>
        <v>41</v>
      </c>
      <c r="T27" s="16"/>
      <c r="U27" s="16"/>
      <c r="V27" s="16"/>
      <c r="W27" s="17">
        <f t="shared" si="12"/>
        <v>0</v>
      </c>
      <c r="X27" s="16">
        <f t="shared" si="8"/>
        <v>56</v>
      </c>
      <c r="Y27" s="16">
        <f t="shared" si="4"/>
        <v>0</v>
      </c>
      <c r="Z27" s="16">
        <f t="shared" si="5"/>
        <v>0</v>
      </c>
      <c r="AA27" s="15">
        <f t="shared" si="9"/>
        <v>56</v>
      </c>
    </row>
    <row r="28" spans="1:27" ht="12.75">
      <c r="A28" s="48">
        <v>22</v>
      </c>
      <c r="B28" s="52">
        <v>60411400</v>
      </c>
      <c r="C28" s="51" t="s">
        <v>53</v>
      </c>
      <c r="D28" s="44"/>
      <c r="E28" s="16"/>
      <c r="F28" s="16"/>
      <c r="G28" s="14">
        <f t="shared" si="6"/>
        <v>0</v>
      </c>
      <c r="H28" s="44"/>
      <c r="I28" s="16"/>
      <c r="J28" s="16"/>
      <c r="K28" s="14">
        <f t="shared" si="7"/>
        <v>0</v>
      </c>
      <c r="L28" s="16">
        <v>9</v>
      </c>
      <c r="M28" s="16"/>
      <c r="N28" s="16"/>
      <c r="O28" s="17">
        <f>L28+M28+N28</f>
        <v>9</v>
      </c>
      <c r="P28" s="16">
        <v>12</v>
      </c>
      <c r="Q28" s="16"/>
      <c r="R28" s="16"/>
      <c r="S28" s="17">
        <f t="shared" si="11"/>
        <v>12</v>
      </c>
      <c r="T28" s="16"/>
      <c r="U28" s="16"/>
      <c r="V28" s="16"/>
      <c r="W28" s="17">
        <f t="shared" si="12"/>
        <v>0</v>
      </c>
      <c r="X28" s="16">
        <f t="shared" si="8"/>
        <v>21</v>
      </c>
      <c r="Y28" s="16">
        <f t="shared" si="4"/>
        <v>0</v>
      </c>
      <c r="Z28" s="16">
        <f t="shared" si="5"/>
        <v>0</v>
      </c>
      <c r="AA28" s="15">
        <f t="shared" si="9"/>
        <v>21</v>
      </c>
    </row>
    <row r="29" spans="1:27" ht="12.75">
      <c r="A29" s="48">
        <v>23</v>
      </c>
      <c r="B29" s="52">
        <v>60920100</v>
      </c>
      <c r="C29" s="51" t="s">
        <v>54</v>
      </c>
      <c r="D29" s="44"/>
      <c r="E29" s="16"/>
      <c r="F29" s="16"/>
      <c r="G29" s="14">
        <f t="shared" si="6"/>
        <v>0</v>
      </c>
      <c r="H29" s="44"/>
      <c r="I29" s="16"/>
      <c r="J29" s="16"/>
      <c r="K29" s="14">
        <f t="shared" si="7"/>
        <v>0</v>
      </c>
      <c r="L29" s="16">
        <v>19</v>
      </c>
      <c r="M29" s="16"/>
      <c r="N29" s="16"/>
      <c r="O29" s="17">
        <f>L29+M29+N29</f>
        <v>19</v>
      </c>
      <c r="P29" s="16"/>
      <c r="Q29" s="16"/>
      <c r="R29" s="16"/>
      <c r="S29" s="17">
        <f t="shared" si="11"/>
        <v>0</v>
      </c>
      <c r="T29" s="16"/>
      <c r="U29" s="16"/>
      <c r="V29" s="16"/>
      <c r="W29" s="17">
        <f t="shared" si="12"/>
        <v>0</v>
      </c>
      <c r="X29" s="16">
        <f t="shared" si="8"/>
        <v>19</v>
      </c>
      <c r="Y29" s="16">
        <f t="shared" si="4"/>
        <v>0</v>
      </c>
      <c r="Z29" s="16">
        <f t="shared" si="5"/>
        <v>0</v>
      </c>
      <c r="AA29" s="15">
        <f t="shared" si="9"/>
        <v>19</v>
      </c>
    </row>
    <row r="30" spans="1:27" ht="12.75">
      <c r="A30" s="48">
        <v>24</v>
      </c>
      <c r="B30" s="52">
        <v>60420100</v>
      </c>
      <c r="C30" s="51" t="s">
        <v>55</v>
      </c>
      <c r="D30" s="44"/>
      <c r="E30" s="16"/>
      <c r="F30" s="16"/>
      <c r="G30" s="14">
        <f t="shared" si="6"/>
        <v>0</v>
      </c>
      <c r="H30" s="44">
        <v>16</v>
      </c>
      <c r="I30" s="16"/>
      <c r="J30" s="16"/>
      <c r="K30" s="14">
        <f t="shared" si="7"/>
        <v>16</v>
      </c>
      <c r="L30" s="16"/>
      <c r="M30" s="16"/>
      <c r="N30" s="16"/>
      <c r="O30" s="17">
        <f>L30+M30+N30</f>
        <v>0</v>
      </c>
      <c r="P30" s="16">
        <v>84</v>
      </c>
      <c r="Q30" s="16"/>
      <c r="R30" s="16"/>
      <c r="S30" s="17">
        <f>P30+Q30+R30</f>
        <v>84</v>
      </c>
      <c r="T30" s="16"/>
      <c r="U30" s="16"/>
      <c r="V30" s="16"/>
      <c r="W30" s="17">
        <f>T30+U30+V30</f>
        <v>0</v>
      </c>
      <c r="X30" s="16">
        <f t="shared" si="8"/>
        <v>100</v>
      </c>
      <c r="Y30" s="16">
        <f t="shared" si="4"/>
        <v>0</v>
      </c>
      <c r="Z30" s="16">
        <f t="shared" si="5"/>
        <v>0</v>
      </c>
      <c r="AA30" s="15">
        <f t="shared" si="9"/>
        <v>100</v>
      </c>
    </row>
    <row r="31" spans="1:27" ht="12.75">
      <c r="A31" s="48">
        <v>25</v>
      </c>
      <c r="B31" s="50">
        <v>60230100</v>
      </c>
      <c r="C31" s="51" t="s">
        <v>60</v>
      </c>
      <c r="D31" s="44"/>
      <c r="E31" s="16"/>
      <c r="F31" s="16"/>
      <c r="G31" s="14">
        <f t="shared" si="6"/>
        <v>0</v>
      </c>
      <c r="H31" s="44">
        <v>42</v>
      </c>
      <c r="I31" s="16"/>
      <c r="J31" s="16"/>
      <c r="K31" s="14">
        <f t="shared" si="7"/>
        <v>42</v>
      </c>
      <c r="L31" s="16"/>
      <c r="M31" s="16"/>
      <c r="N31" s="16"/>
      <c r="O31" s="17">
        <f aca="true" t="shared" si="13" ref="O31:O39">L31+M31+N31</f>
        <v>0</v>
      </c>
      <c r="P31" s="16"/>
      <c r="Q31" s="16"/>
      <c r="R31" s="16"/>
      <c r="S31" s="17">
        <f aca="true" t="shared" si="14" ref="S31:S39">P31+Q31+R31</f>
        <v>0</v>
      </c>
      <c r="T31" s="16"/>
      <c r="U31" s="16"/>
      <c r="V31" s="16"/>
      <c r="W31" s="17">
        <f aca="true" t="shared" si="15" ref="W31:W39">T31+U31+V31</f>
        <v>0</v>
      </c>
      <c r="X31" s="16">
        <f aca="true" t="shared" si="16" ref="X31:X39">D31+H31+L31+P31+T31</f>
        <v>42</v>
      </c>
      <c r="Y31" s="16">
        <f aca="true" t="shared" si="17" ref="Y31:Y39">E31+I31+M31+Q31+U31</f>
        <v>0</v>
      </c>
      <c r="Z31" s="16">
        <f aca="true" t="shared" si="18" ref="Z31:Z39">F31+J31+N31+R31+V31</f>
        <v>0</v>
      </c>
      <c r="AA31" s="15">
        <f aca="true" t="shared" si="19" ref="AA31:AA39">X31+Y31+Z31</f>
        <v>42</v>
      </c>
    </row>
    <row r="32" spans="1:27" ht="12.75">
      <c r="A32" s="48">
        <v>26</v>
      </c>
      <c r="B32" s="50">
        <v>60230100</v>
      </c>
      <c r="C32" s="51" t="s">
        <v>61</v>
      </c>
      <c r="D32" s="44"/>
      <c r="E32" s="16"/>
      <c r="F32" s="16"/>
      <c r="G32" s="14">
        <f t="shared" si="6"/>
        <v>0</v>
      </c>
      <c r="H32" s="44">
        <v>19</v>
      </c>
      <c r="I32" s="16"/>
      <c r="J32" s="16"/>
      <c r="K32" s="14">
        <f t="shared" si="7"/>
        <v>19</v>
      </c>
      <c r="L32" s="16"/>
      <c r="M32" s="16"/>
      <c r="N32" s="16"/>
      <c r="O32" s="17">
        <f t="shared" si="13"/>
        <v>0</v>
      </c>
      <c r="P32" s="16"/>
      <c r="Q32" s="16"/>
      <c r="R32" s="16"/>
      <c r="S32" s="17">
        <f t="shared" si="14"/>
        <v>0</v>
      </c>
      <c r="T32" s="16"/>
      <c r="U32" s="16"/>
      <c r="V32" s="16"/>
      <c r="W32" s="17">
        <f t="shared" si="15"/>
        <v>0</v>
      </c>
      <c r="X32" s="16">
        <f t="shared" si="16"/>
        <v>19</v>
      </c>
      <c r="Y32" s="16">
        <f t="shared" si="17"/>
        <v>0</v>
      </c>
      <c r="Z32" s="16">
        <f t="shared" si="18"/>
        <v>0</v>
      </c>
      <c r="AA32" s="15">
        <f t="shared" si="19"/>
        <v>19</v>
      </c>
    </row>
    <row r="33" spans="1:27" ht="12.75">
      <c r="A33" s="48">
        <v>27</v>
      </c>
      <c r="B33" s="50">
        <v>60310500</v>
      </c>
      <c r="C33" s="51" t="s">
        <v>62</v>
      </c>
      <c r="D33" s="44"/>
      <c r="E33" s="16"/>
      <c r="F33" s="16"/>
      <c r="G33" s="14">
        <f t="shared" si="6"/>
        <v>0</v>
      </c>
      <c r="H33" s="44">
        <v>5</v>
      </c>
      <c r="I33" s="16"/>
      <c r="J33" s="16"/>
      <c r="K33" s="14">
        <f t="shared" si="7"/>
        <v>5</v>
      </c>
      <c r="L33" s="16"/>
      <c r="M33" s="16"/>
      <c r="N33" s="16"/>
      <c r="O33" s="17">
        <f t="shared" si="13"/>
        <v>0</v>
      </c>
      <c r="P33" s="16"/>
      <c r="Q33" s="16"/>
      <c r="R33" s="16"/>
      <c r="S33" s="17">
        <f t="shared" si="14"/>
        <v>0</v>
      </c>
      <c r="T33" s="16"/>
      <c r="U33" s="16"/>
      <c r="V33" s="16"/>
      <c r="W33" s="17">
        <f t="shared" si="15"/>
        <v>0</v>
      </c>
      <c r="X33" s="16">
        <f t="shared" si="16"/>
        <v>5</v>
      </c>
      <c r="Y33" s="16">
        <f t="shared" si="17"/>
        <v>0</v>
      </c>
      <c r="Z33" s="16">
        <f t="shared" si="18"/>
        <v>0</v>
      </c>
      <c r="AA33" s="15">
        <f t="shared" si="19"/>
        <v>5</v>
      </c>
    </row>
    <row r="34" spans="1:27" ht="12.75">
      <c r="A34" s="48">
        <v>28</v>
      </c>
      <c r="B34" s="50">
        <v>60540200</v>
      </c>
      <c r="C34" s="51" t="s">
        <v>63</v>
      </c>
      <c r="D34" s="44"/>
      <c r="E34" s="16"/>
      <c r="F34" s="16"/>
      <c r="G34" s="14">
        <f t="shared" si="6"/>
        <v>0</v>
      </c>
      <c r="H34" s="44">
        <v>14</v>
      </c>
      <c r="I34" s="16"/>
      <c r="J34" s="16"/>
      <c r="K34" s="14">
        <f t="shared" si="7"/>
        <v>14</v>
      </c>
      <c r="L34" s="16"/>
      <c r="M34" s="16"/>
      <c r="N34" s="16"/>
      <c r="O34" s="17">
        <f t="shared" si="13"/>
        <v>0</v>
      </c>
      <c r="P34" s="16"/>
      <c r="Q34" s="16"/>
      <c r="R34" s="16"/>
      <c r="S34" s="17">
        <f t="shared" si="14"/>
        <v>0</v>
      </c>
      <c r="T34" s="16"/>
      <c r="U34" s="16"/>
      <c r="V34" s="16"/>
      <c r="W34" s="17">
        <f t="shared" si="15"/>
        <v>0</v>
      </c>
      <c r="X34" s="16">
        <f t="shared" si="16"/>
        <v>14</v>
      </c>
      <c r="Y34" s="16">
        <f t="shared" si="17"/>
        <v>0</v>
      </c>
      <c r="Z34" s="16">
        <f t="shared" si="18"/>
        <v>0</v>
      </c>
      <c r="AA34" s="15">
        <f t="shared" si="19"/>
        <v>14</v>
      </c>
    </row>
    <row r="35" spans="1:27" ht="21" customHeight="1">
      <c r="A35" s="48"/>
      <c r="B35" s="102" t="s">
        <v>70</v>
      </c>
      <c r="C35" s="103"/>
      <c r="D35" s="65">
        <f>+D36+D37+D38+D39</f>
        <v>0</v>
      </c>
      <c r="E35" s="65">
        <f>+E36+E37+E38+E39</f>
        <v>0</v>
      </c>
      <c r="F35" s="65">
        <f aca="true" t="shared" si="20" ref="F35:AA35">+F36+F37+F38+F39</f>
        <v>0</v>
      </c>
      <c r="G35" s="65">
        <f t="shared" si="20"/>
        <v>0</v>
      </c>
      <c r="H35" s="65">
        <f t="shared" si="20"/>
        <v>36</v>
      </c>
      <c r="I35" s="65">
        <f t="shared" si="20"/>
        <v>0</v>
      </c>
      <c r="J35" s="65">
        <f t="shared" si="20"/>
        <v>0</v>
      </c>
      <c r="K35" s="65">
        <f t="shared" si="20"/>
        <v>36</v>
      </c>
      <c r="L35" s="65">
        <f t="shared" si="20"/>
        <v>0</v>
      </c>
      <c r="M35" s="65">
        <f t="shared" si="20"/>
        <v>0</v>
      </c>
      <c r="N35" s="65">
        <f t="shared" si="20"/>
        <v>0</v>
      </c>
      <c r="O35" s="65">
        <f t="shared" si="20"/>
        <v>0</v>
      </c>
      <c r="P35" s="65">
        <f t="shared" si="20"/>
        <v>0</v>
      </c>
      <c r="Q35" s="65">
        <f t="shared" si="20"/>
        <v>0</v>
      </c>
      <c r="R35" s="65">
        <f t="shared" si="20"/>
        <v>0</v>
      </c>
      <c r="S35" s="65">
        <f t="shared" si="20"/>
        <v>0</v>
      </c>
      <c r="T35" s="65">
        <f t="shared" si="20"/>
        <v>0</v>
      </c>
      <c r="U35" s="65">
        <f t="shared" si="20"/>
        <v>0</v>
      </c>
      <c r="V35" s="65">
        <f t="shared" si="20"/>
        <v>0</v>
      </c>
      <c r="W35" s="65">
        <f t="shared" si="20"/>
        <v>0</v>
      </c>
      <c r="X35" s="65">
        <f t="shared" si="20"/>
        <v>36</v>
      </c>
      <c r="Y35" s="65">
        <f t="shared" si="20"/>
        <v>0</v>
      </c>
      <c r="Z35" s="65">
        <f t="shared" si="20"/>
        <v>0</v>
      </c>
      <c r="AA35" s="65">
        <f t="shared" si="20"/>
        <v>36</v>
      </c>
    </row>
    <row r="36" spans="1:27" ht="12.75">
      <c r="A36" s="48">
        <v>29</v>
      </c>
      <c r="B36" s="50">
        <v>60811500</v>
      </c>
      <c r="C36" s="51" t="s">
        <v>64</v>
      </c>
      <c r="D36" s="16"/>
      <c r="E36" s="16"/>
      <c r="F36" s="16"/>
      <c r="G36" s="14">
        <f t="shared" si="6"/>
        <v>0</v>
      </c>
      <c r="H36" s="16">
        <v>8</v>
      </c>
      <c r="I36" s="16"/>
      <c r="J36" s="16"/>
      <c r="K36" s="14">
        <f t="shared" si="7"/>
        <v>8</v>
      </c>
      <c r="L36" s="16"/>
      <c r="M36" s="16"/>
      <c r="N36" s="16"/>
      <c r="O36" s="17">
        <f t="shared" si="13"/>
        <v>0</v>
      </c>
      <c r="P36" s="16"/>
      <c r="Q36" s="16"/>
      <c r="R36" s="16"/>
      <c r="S36" s="17">
        <f t="shared" si="14"/>
        <v>0</v>
      </c>
      <c r="T36" s="16"/>
      <c r="U36" s="16"/>
      <c r="V36" s="16"/>
      <c r="W36" s="17">
        <f t="shared" si="15"/>
        <v>0</v>
      </c>
      <c r="X36" s="16">
        <f t="shared" si="16"/>
        <v>8</v>
      </c>
      <c r="Y36" s="16">
        <f t="shared" si="17"/>
        <v>0</v>
      </c>
      <c r="Z36" s="16">
        <f t="shared" si="18"/>
        <v>0</v>
      </c>
      <c r="AA36" s="15">
        <f t="shared" si="19"/>
        <v>8</v>
      </c>
    </row>
    <row r="37" spans="1:27" ht="12.75">
      <c r="A37" s="48">
        <v>30</v>
      </c>
      <c r="B37" s="50">
        <v>60811800</v>
      </c>
      <c r="C37" s="51" t="s">
        <v>65</v>
      </c>
      <c r="D37" s="16"/>
      <c r="E37" s="16"/>
      <c r="F37" s="16"/>
      <c r="G37" s="14">
        <f t="shared" si="6"/>
        <v>0</v>
      </c>
      <c r="H37" s="16">
        <v>11</v>
      </c>
      <c r="I37" s="16"/>
      <c r="J37" s="16"/>
      <c r="K37" s="14">
        <f t="shared" si="7"/>
        <v>11</v>
      </c>
      <c r="L37" s="16"/>
      <c r="M37" s="16"/>
      <c r="N37" s="16"/>
      <c r="O37" s="17">
        <f t="shared" si="13"/>
        <v>0</v>
      </c>
      <c r="P37" s="16"/>
      <c r="Q37" s="16"/>
      <c r="R37" s="16"/>
      <c r="S37" s="17">
        <f t="shared" si="14"/>
        <v>0</v>
      </c>
      <c r="T37" s="16"/>
      <c r="U37" s="16"/>
      <c r="V37" s="16"/>
      <c r="W37" s="17">
        <f t="shared" si="15"/>
        <v>0</v>
      </c>
      <c r="X37" s="16">
        <f t="shared" si="16"/>
        <v>11</v>
      </c>
      <c r="Y37" s="16">
        <f t="shared" si="17"/>
        <v>0</v>
      </c>
      <c r="Z37" s="16">
        <f t="shared" si="18"/>
        <v>0</v>
      </c>
      <c r="AA37" s="15">
        <f t="shared" si="19"/>
        <v>11</v>
      </c>
    </row>
    <row r="38" spans="1:27" ht="12.75">
      <c r="A38" s="48">
        <v>31</v>
      </c>
      <c r="B38" s="50">
        <v>60811900</v>
      </c>
      <c r="C38" s="51" t="s">
        <v>66</v>
      </c>
      <c r="D38" s="16"/>
      <c r="E38" s="16"/>
      <c r="F38" s="16"/>
      <c r="G38" s="14">
        <f t="shared" si="6"/>
        <v>0</v>
      </c>
      <c r="H38" s="16">
        <v>7</v>
      </c>
      <c r="I38" s="16"/>
      <c r="J38" s="16"/>
      <c r="K38" s="14">
        <f t="shared" si="7"/>
        <v>7</v>
      </c>
      <c r="L38" s="16"/>
      <c r="M38" s="16"/>
      <c r="N38" s="16"/>
      <c r="O38" s="17">
        <f t="shared" si="13"/>
        <v>0</v>
      </c>
      <c r="P38" s="16"/>
      <c r="Q38" s="16"/>
      <c r="R38" s="16"/>
      <c r="S38" s="17">
        <f t="shared" si="14"/>
        <v>0</v>
      </c>
      <c r="T38" s="16"/>
      <c r="U38" s="16"/>
      <c r="V38" s="16"/>
      <c r="W38" s="17">
        <f t="shared" si="15"/>
        <v>0</v>
      </c>
      <c r="X38" s="16">
        <f t="shared" si="16"/>
        <v>7</v>
      </c>
      <c r="Y38" s="16">
        <f t="shared" si="17"/>
        <v>0</v>
      </c>
      <c r="Z38" s="16">
        <f t="shared" si="18"/>
        <v>0</v>
      </c>
      <c r="AA38" s="15">
        <f t="shared" si="19"/>
        <v>7</v>
      </c>
    </row>
    <row r="39" spans="1:27" ht="12.75">
      <c r="A39" s="48">
        <v>32</v>
      </c>
      <c r="B39" s="50">
        <v>60812000</v>
      </c>
      <c r="C39" s="51" t="s">
        <v>67</v>
      </c>
      <c r="D39" s="16"/>
      <c r="E39" s="16"/>
      <c r="F39" s="16"/>
      <c r="G39" s="14">
        <f t="shared" si="6"/>
        <v>0</v>
      </c>
      <c r="H39" s="16">
        <v>10</v>
      </c>
      <c r="I39" s="16"/>
      <c r="J39" s="16"/>
      <c r="K39" s="14">
        <f t="shared" si="7"/>
        <v>10</v>
      </c>
      <c r="L39" s="16"/>
      <c r="M39" s="16"/>
      <c r="N39" s="16"/>
      <c r="O39" s="17">
        <f t="shared" si="13"/>
        <v>0</v>
      </c>
      <c r="P39" s="16"/>
      <c r="Q39" s="16"/>
      <c r="R39" s="16"/>
      <c r="S39" s="17">
        <f t="shared" si="14"/>
        <v>0</v>
      </c>
      <c r="T39" s="16"/>
      <c r="U39" s="16"/>
      <c r="V39" s="16"/>
      <c r="W39" s="17">
        <f t="shared" si="15"/>
        <v>0</v>
      </c>
      <c r="X39" s="16">
        <f t="shared" si="16"/>
        <v>10</v>
      </c>
      <c r="Y39" s="16">
        <f t="shared" si="17"/>
        <v>0</v>
      </c>
      <c r="Z39" s="16">
        <f t="shared" si="18"/>
        <v>0</v>
      </c>
      <c r="AA39" s="15">
        <f t="shared" si="19"/>
        <v>10</v>
      </c>
    </row>
    <row r="40" spans="1:27" ht="12.75">
      <c r="A40" s="66"/>
      <c r="B40" s="66"/>
      <c r="C40" s="66" t="s">
        <v>5</v>
      </c>
      <c r="D40" s="72">
        <f>+D35+D6</f>
        <v>0</v>
      </c>
      <c r="E40" s="72">
        <f aca="true" t="shared" si="21" ref="E40:AA40">+E35+E6</f>
        <v>0</v>
      </c>
      <c r="F40" s="72">
        <f t="shared" si="21"/>
        <v>0</v>
      </c>
      <c r="G40" s="72">
        <f t="shared" si="21"/>
        <v>0</v>
      </c>
      <c r="H40" s="72">
        <f t="shared" si="21"/>
        <v>190</v>
      </c>
      <c r="I40" s="72">
        <f t="shared" si="21"/>
        <v>0</v>
      </c>
      <c r="J40" s="72">
        <f t="shared" si="21"/>
        <v>0</v>
      </c>
      <c r="K40" s="72">
        <f t="shared" si="21"/>
        <v>190</v>
      </c>
      <c r="L40" s="72">
        <f t="shared" si="21"/>
        <v>149</v>
      </c>
      <c r="M40" s="72">
        <f t="shared" si="21"/>
        <v>0</v>
      </c>
      <c r="N40" s="72">
        <f t="shared" si="21"/>
        <v>0</v>
      </c>
      <c r="O40" s="72">
        <f t="shared" si="21"/>
        <v>149</v>
      </c>
      <c r="P40" s="72">
        <f t="shared" si="21"/>
        <v>2624</v>
      </c>
      <c r="Q40" s="72">
        <f t="shared" si="21"/>
        <v>0</v>
      </c>
      <c r="R40" s="72">
        <f t="shared" si="21"/>
        <v>0</v>
      </c>
      <c r="S40" s="72">
        <f t="shared" si="21"/>
        <v>2624</v>
      </c>
      <c r="T40" s="72">
        <f t="shared" si="21"/>
        <v>1417</v>
      </c>
      <c r="U40" s="72">
        <f t="shared" si="21"/>
        <v>0</v>
      </c>
      <c r="V40" s="72">
        <f t="shared" si="21"/>
        <v>0</v>
      </c>
      <c r="W40" s="72">
        <f t="shared" si="21"/>
        <v>1417</v>
      </c>
      <c r="X40" s="72">
        <f t="shared" si="21"/>
        <v>4380</v>
      </c>
      <c r="Y40" s="72">
        <f t="shared" si="21"/>
        <v>0</v>
      </c>
      <c r="Z40" s="72">
        <f t="shared" si="21"/>
        <v>0</v>
      </c>
      <c r="AA40" s="72">
        <f t="shared" si="21"/>
        <v>4380</v>
      </c>
    </row>
  </sheetData>
  <sheetProtection/>
  <mergeCells count="7">
    <mergeCell ref="B35:C35"/>
    <mergeCell ref="A1:AA1"/>
    <mergeCell ref="A2:AA2"/>
    <mergeCell ref="C3:C4"/>
    <mergeCell ref="A5:AA5"/>
    <mergeCell ref="B3:B4"/>
    <mergeCell ref="B6:C6"/>
  </mergeCells>
  <printOptions/>
  <pageMargins left="0.7" right="0.7" top="0.75" bottom="0.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TS-Technology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 Centre</dc:creator>
  <cp:keywords/>
  <dc:description/>
  <cp:lastModifiedBy>hp</cp:lastModifiedBy>
  <cp:lastPrinted>2022-02-04T03:48:31Z</cp:lastPrinted>
  <dcterms:created xsi:type="dcterms:W3CDTF">2000-10-24T05:10:12Z</dcterms:created>
  <dcterms:modified xsi:type="dcterms:W3CDTF">2023-11-03T10:38:51Z</dcterms:modified>
  <cp:category/>
  <cp:version/>
  <cp:contentType/>
  <cp:contentStatus/>
</cp:coreProperties>
</file>